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4" yWindow="276" windowWidth="15360" windowHeight="8520" activeTab="0"/>
  </bookViews>
  <sheets>
    <sheet name="Intro" sheetId="1" r:id="rId1"/>
    <sheet name="Crystalyx®" sheetId="2" r:id="rId2"/>
    <sheet name="Supplement program comparisons" sheetId="3" r:id="rId3"/>
    <sheet name="Equipment" sheetId="4" r:id="rId4"/>
    <sheet name="Formulas" sheetId="5" state="hidden" r:id="rId5"/>
  </sheets>
  <definedNames>
    <definedName name="Equipment_type">'Formulas'!$C$70:$L$70</definedName>
    <definedName name="Labor">#REF!</definedName>
    <definedName name="Products">'Formulas'!$C$100:$C$134</definedName>
    <definedName name="Returns" localSheetId="1">'Crystalyx®'!$J$45:$L$50</definedName>
    <definedName name="Returns">'Supplement program comparisons'!$H$46:$L$54</definedName>
  </definedNames>
  <calcPr fullCalcOnLoad="1"/>
</workbook>
</file>

<file path=xl/comments2.xml><?xml version="1.0" encoding="utf-8"?>
<comments xmlns="http://schemas.openxmlformats.org/spreadsheetml/2006/main">
  <authors>
    <author>dhuyvetter</author>
    <author>Kevin Dhuyvetter</author>
  </authors>
  <commentList>
    <comment ref="J8" authorId="0">
      <text>
        <r>
          <rPr>
            <sz val="10"/>
            <rFont val="Tahoma"/>
            <family val="2"/>
          </rPr>
          <t>Enter the total number of head in the herd/group being supplemented.</t>
        </r>
      </text>
    </comment>
    <comment ref="J9" authorId="0">
      <text>
        <r>
          <rPr>
            <sz val="10"/>
            <rFont val="Tahoma"/>
            <family val="2"/>
          </rPr>
          <t>Enter the total number of days the herd is being supplemented.</t>
        </r>
      </text>
    </comment>
    <comment ref="J22" authorId="0">
      <text>
        <r>
          <rPr>
            <sz val="10"/>
            <rFont val="Tahoma"/>
            <family val="2"/>
          </rPr>
          <t>Enter the total miles driven with pickup or truck each time the herd is supplemented (or inspected if herd is being custom fed).</t>
        </r>
      </text>
    </comment>
    <comment ref="J13" authorId="0">
      <text>
        <r>
          <rPr>
            <sz val="10"/>
            <rFont val="Tahoma"/>
            <family val="2"/>
          </rPr>
          <t>Enter the value of labor per hour.  
Note: the value/cost of labor can vary tremendously between operations depending on other opportunities or constraints.</t>
        </r>
      </text>
    </comment>
    <comment ref="J14" authorId="0">
      <text>
        <r>
          <rPr>
            <sz val="10"/>
            <rFont val="Tahoma"/>
            <family val="2"/>
          </rPr>
          <t>Enter the cost per mile to run a pickup or truck.  If a pickup/truck is not being used in supplement program, enter $0.
Note: the full cost allowed by IRS for tax purposes on pickups is roughly 34.5 cents per mile.  This cost can be estimated in the Equipment sheet.</t>
        </r>
      </text>
    </comment>
    <comment ref="J15" authorId="0">
      <text>
        <r>
          <rPr>
            <sz val="10"/>
            <rFont val="Tahoma"/>
            <family val="2"/>
          </rPr>
          <t>Enter the cost per hour to run a tractor.  If a tractor is not being used in the supplement program, enter $0.
Note: average custom rates range from $15-$25 per hour depending on tractor size and other factors.  This cost can be estimated in the Equipment sheet.</t>
        </r>
      </text>
    </comment>
    <comment ref="J12" authorId="0">
      <text>
        <r>
          <rPr>
            <sz val="10"/>
            <rFont val="Tahoma"/>
            <family val="2"/>
          </rPr>
          <t>Enter the cost per ton of Crystalyx product being fed.</t>
        </r>
      </text>
    </comment>
    <comment ref="J19" authorId="0">
      <text>
        <r>
          <rPr>
            <sz val="10"/>
            <rFont val="Tahoma"/>
            <family val="2"/>
          </rPr>
          <t xml:space="preserve">Enter the targeted daily supplement consumption (lb/hd/day).
For most Crystalyx products (excluding special use blocks such as mineral Blocks, Rolyx Blocks, Brigade, etc.) the following table can be used as a guideline to estimate daily supplement intake relative to animal type:
                                         Daily             Intake Factor
                                        Intake             Relative to 
</t>
        </r>
        <r>
          <rPr>
            <u val="single"/>
            <sz val="10"/>
            <rFont val="Tahoma"/>
            <family val="2"/>
          </rPr>
          <t>Animal                               Range           Mature Bovine</t>
        </r>
        <r>
          <rPr>
            <sz val="10"/>
            <rFont val="Tahoma"/>
            <family val="2"/>
          </rPr>
          <t xml:space="preserve">
Mature cow or bull           .5 to 1.25 lb      Factor of 1
Cow-calf pair (&lt;400 lb)     .5 to 1.25 lb      Factor of 1
Cow-calf pair (&gt;400 lb)     .66 to 1.66 lb    Factor of 1.33
Yearlings                        .33 to .85 lb      Factor of .66
Weaned calves &lt;600 lb    .165 to .5 lb      Factor of .33
Mature sheep and goats    1 to 5 oz          Factor of .125 to .2
Mature equine                 .5 to 2 lb          Factor of 1 to 2
Yearling equine                .5 to 1 lb          Factor of .75 to 1</t>
        </r>
      </text>
    </comment>
    <comment ref="J20" authorId="0">
      <text>
        <r>
          <rPr>
            <sz val="10"/>
            <rFont val="Tahoma"/>
            <family val="2"/>
          </rPr>
          <t>Enter a percentage estimate of purchased supplement that is not available for consumption.</t>
        </r>
      </text>
    </comment>
    <comment ref="J21" authorId="0">
      <text>
        <r>
          <rPr>
            <sz val="10"/>
            <rFont val="Tahoma"/>
            <family val="2"/>
          </rPr>
          <t>Enter the days between feedings (or days between herd inspection if being custom fed).  For example, daily feeding = 1, every other day = 2, weekly feeding = 7, and bi-weekly = 14.
Note: Feeding frequency is typically 10-14 days for most Crystalyx products.</t>
        </r>
      </text>
    </comment>
    <comment ref="J23" authorId="0">
      <text>
        <r>
          <rPr>
            <sz val="10"/>
            <rFont val="Tahoma"/>
            <family val="2"/>
          </rPr>
          <t>Enter the total hours required per feeding the herd that are allocated to the supplement.  If herd is being custom fed, enter the total hours required per inspection.</t>
        </r>
      </text>
    </comment>
    <comment ref="J24" authorId="0">
      <text>
        <r>
          <rPr>
            <sz val="10"/>
            <rFont val="Tahoma"/>
            <family val="2"/>
          </rPr>
          <t>Enter the total hours a tractor is used per feeding that are allocated to the supplement program.</t>
        </r>
      </text>
    </comment>
    <comment ref="D25" authorId="0">
      <text>
        <r>
          <rPr>
            <sz val="10"/>
            <rFont val="Tahoma"/>
            <family val="2"/>
          </rPr>
          <t xml:space="preserve">Select the type and quantity of equipment used (if any).  Typically, Crystalyx products will not require any special feeding equipment.  However, if a specific type of equipment is used and is not listed, it can be entered in the "Equipment" sheet.
</t>
        </r>
      </text>
    </comment>
    <comment ref="K66" authorId="0">
      <text>
        <r>
          <rPr>
            <sz val="10"/>
            <rFont val="Tahoma"/>
            <family val="2"/>
          </rPr>
          <t xml:space="preserve">Enter the date when supplement feeding will begin (enter as 1/15/03 for January 15, 2003).
</t>
        </r>
      </text>
    </comment>
    <comment ref="K68" authorId="0">
      <text>
        <r>
          <rPr>
            <sz val="10"/>
            <rFont val="Tahoma"/>
            <family val="2"/>
          </rPr>
          <t xml:space="preserve">Pick the supplement container size of product being used.  
Recommended animals per container:
  250 pound barrel, 20 to 30 head
  125 pound barrel, 20 to 30 head
    60 pound barrel, 5 to 15 head
Note: Product will disappear at twice the rate for 125 lb versus 250 lb containers.  Intakes may vary for 60 lb containers depending on stocking rate.
</t>
        </r>
      </text>
    </comment>
    <comment ref="K72" authorId="0">
      <text>
        <r>
          <rPr>
            <sz val="10"/>
            <rFont val="Tahoma"/>
            <family val="2"/>
          </rPr>
          <t xml:space="preserve">Note:  The number of head per container is generally recommended to be 20-30 for mature cows or bulls.  If this number differs from that significantly, double check intake and feeding frequency values.
</t>
        </r>
      </text>
    </comment>
    <comment ref="K71" authorId="0">
      <text>
        <r>
          <rPr>
            <sz val="10"/>
            <rFont val="Tahoma"/>
            <family val="2"/>
          </rPr>
          <t xml:space="preserve">Note: containers per feeding is a calculated value based on number of head in herd, feeding fequency, and daily intake.  A range is given when calculated values call for a portion of a container.
</t>
        </r>
      </text>
    </comment>
    <comment ref="K69" authorId="0">
      <text>
        <r>
          <rPr>
            <sz val="10"/>
            <rFont val="Tahoma"/>
            <family val="2"/>
          </rPr>
          <t xml:space="preserve">Note: total containers required is a calculated value based on number of head in herd, total days supplemented, and daily intake.  
</t>
        </r>
      </text>
    </comment>
    <comment ref="H79" authorId="0">
      <text>
        <r>
          <rPr>
            <sz val="10"/>
            <rFont val="Tahoma"/>
            <family val="2"/>
          </rPr>
          <t xml:space="preserve">Suggested number of containers to deliver to the herd for the next feeding period.
</t>
        </r>
      </text>
    </comment>
    <comment ref="K79" authorId="0">
      <text>
        <r>
          <rPr>
            <sz val="10"/>
            <rFont val="Tahoma"/>
            <family val="2"/>
          </rPr>
          <t xml:space="preserve">The cumulative number of containers delivered to the herd throughout the entire supplement period.
</t>
        </r>
      </text>
    </comment>
    <comment ref="D80" authorId="0">
      <text>
        <r>
          <rPr>
            <sz val="10"/>
            <rFont val="Tahoma"/>
            <family val="2"/>
          </rPr>
          <t xml:space="preserve">Approximates times and dates of when supplement should be provided to the herd.
Note: actual dates when supplement is needed can vary due to varying intake rates and the number of containers put out the previous feeding period.
</t>
        </r>
      </text>
    </comment>
    <comment ref="J10" authorId="0">
      <text>
        <r>
          <rPr>
            <sz val="10"/>
            <rFont val="Tahoma"/>
            <family val="2"/>
          </rPr>
          <t>Choose the Crystalyx product being fed.</t>
        </r>
      </text>
    </comment>
    <comment ref="H7" authorId="1">
      <text>
        <r>
          <rPr>
            <sz val="10"/>
            <rFont val="Tahoma"/>
            <family val="2"/>
          </rPr>
          <t>Enter a brief description of the herd/group being supplmented.</t>
        </r>
      </text>
    </comment>
  </commentList>
</comments>
</file>

<file path=xl/comments3.xml><?xml version="1.0" encoding="utf-8"?>
<comments xmlns="http://schemas.openxmlformats.org/spreadsheetml/2006/main">
  <authors>
    <author>dhuyvetter</author>
    <author>Kevin Dhuyvetter</author>
  </authors>
  <commentList>
    <comment ref="H15" authorId="0">
      <text>
        <r>
          <rPr>
            <sz val="10"/>
            <rFont val="Tahoma"/>
            <family val="2"/>
          </rPr>
          <t xml:space="preserve">Enter a brief description for up to four different supplement programs to compare to the Crystalyx program.
</t>
        </r>
      </text>
    </comment>
    <comment ref="I7" authorId="0">
      <text>
        <r>
          <rPr>
            <sz val="10"/>
            <rFont val="Tahoma"/>
            <family val="2"/>
          </rPr>
          <t xml:space="preserve">The total number of head in the herd/group being supplemented.
</t>
        </r>
      </text>
    </comment>
    <comment ref="I8" authorId="0">
      <text>
        <r>
          <rPr>
            <sz val="10"/>
            <rFont val="Tahoma"/>
            <family val="2"/>
          </rPr>
          <t xml:space="preserve">The total number of days the herd is being supplemented.
</t>
        </r>
      </text>
    </comment>
    <comment ref="I10" authorId="0">
      <text>
        <r>
          <rPr>
            <sz val="10"/>
            <rFont val="Tahoma"/>
            <family val="2"/>
          </rPr>
          <t>The value of labor per hour.  
Note: the value/cost of labor can vary tremendously between operations depending on other opportunities or constraints.</t>
        </r>
      </text>
    </comment>
    <comment ref="I11" authorId="0">
      <text>
        <r>
          <rPr>
            <sz val="10"/>
            <rFont val="Tahoma"/>
            <family val="2"/>
          </rPr>
          <t xml:space="preserve">The cost per mile to run a pickup or truck.  
Note: the full cost allowed by IRS for tax purposes on pickups is roughly 34.5 cents per mile.  
</t>
        </r>
      </text>
    </comment>
    <comment ref="I12" authorId="0">
      <text>
        <r>
          <rPr>
            <sz val="10"/>
            <rFont val="Tahoma"/>
            <family val="2"/>
          </rPr>
          <t xml:space="preserve">The cost per hour to run a tractor.  
Note: average custom rates range from $15-$25 per hour depending on tractor size and other factors. </t>
        </r>
      </text>
    </comment>
    <comment ref="D20" authorId="0">
      <text>
        <r>
          <rPr>
            <sz val="10"/>
            <rFont val="Tahoma"/>
            <family val="2"/>
          </rPr>
          <t>Enter the supplement cost per ton for each program to analyze.</t>
        </r>
      </text>
    </comment>
    <comment ref="D22" authorId="0">
      <text>
        <r>
          <rPr>
            <sz val="10"/>
            <rFont val="Tahoma"/>
            <family val="2"/>
          </rPr>
          <t>Enter the targeted daily consumption (lb/hd/day) for each supplement program.</t>
        </r>
      </text>
    </comment>
    <comment ref="D23" authorId="0">
      <text>
        <r>
          <rPr>
            <sz val="10"/>
            <rFont val="Tahoma"/>
            <family val="2"/>
          </rPr>
          <t xml:space="preserve">Enter a percentage estimate of purchased supplement that is not available for consumption for each program.
Some estimated wastage ranges are the following:
  Block/liquid supplements:  1 to 5%
  Cubes/pellets in bunks:   1 to 5% -- on ground 5 to 10%
  Custom mix in self-feeder:  3 to 6%
  Hay in racks/feeders:  7 to 15% -- on ground 10 to 25% </t>
        </r>
      </text>
    </comment>
    <comment ref="D24" authorId="0">
      <text>
        <r>
          <rPr>
            <sz val="10"/>
            <rFont val="Tahoma"/>
            <family val="2"/>
          </rPr>
          <t xml:space="preserve">Enter the days between feedings.  For example, daily feeding = 1, every other day = 2, weekly feeding = 7, and bi-weekly = 14.  
If the herd is being custom fed, enter the days between inspections.
</t>
        </r>
      </text>
    </comment>
    <comment ref="D25" authorId="0">
      <text>
        <r>
          <rPr>
            <sz val="10"/>
            <rFont val="Tahoma"/>
            <family val="2"/>
          </rPr>
          <t>Enter the total hours required per feeding that are allocated to the supplement.  If the herd is being custom fed, enter the total hours per inspection.</t>
        </r>
      </text>
    </comment>
    <comment ref="D26" authorId="0">
      <text>
        <r>
          <rPr>
            <sz val="10"/>
            <rFont val="Tahoma"/>
            <family val="2"/>
          </rPr>
          <t>Enter the total hours a tractor is used per feeding that are allocated to the supplement.</t>
        </r>
      </text>
    </comment>
    <comment ref="D27" authorId="0">
      <text>
        <r>
          <rPr>
            <sz val="10"/>
            <rFont val="Tahoma"/>
            <family val="2"/>
          </rPr>
          <t>Select the type of equipment that is used for each supplement program.  If a specific type of equipment is not listed, it can be entered in the "Equipment" sheet.</t>
        </r>
      </text>
    </comment>
    <comment ref="I9" authorId="0">
      <text>
        <r>
          <rPr>
            <sz val="10"/>
            <rFont val="Tahoma"/>
            <family val="2"/>
          </rPr>
          <t>The total miles driven with pickup or truck each time the herd is supplemented (or inspected if herd is being custom fed).</t>
        </r>
      </text>
    </comment>
    <comment ref="H6" authorId="1">
      <text>
        <r>
          <rPr>
            <sz val="10"/>
            <rFont val="Tahoma"/>
            <family val="2"/>
          </rPr>
          <t>Brief description of the herd/group being supplemented.</t>
        </r>
      </text>
    </comment>
  </commentList>
</comments>
</file>

<file path=xl/sharedStrings.xml><?xml version="1.0" encoding="utf-8"?>
<sst xmlns="http://schemas.openxmlformats.org/spreadsheetml/2006/main" count="243" uniqueCount="207">
  <si>
    <t>Cake feeder -- truck</t>
  </si>
  <si>
    <t>Cake feeder -- trailer</t>
  </si>
  <si>
    <t>Feed bunk - concrete</t>
  </si>
  <si>
    <t>Overhead bulk bins</t>
  </si>
  <si>
    <t>Select type of equipment used</t>
  </si>
  <si>
    <t>Estimated total cost per mile/hour</t>
  </si>
  <si>
    <r>
      <t>Feeding Considerations for Crystalyx</t>
    </r>
    <r>
      <rPr>
        <b/>
        <vertAlign val="superscript"/>
        <sz val="12"/>
        <rFont val="Arial"/>
        <family val="0"/>
      </rPr>
      <t>®</t>
    </r>
    <r>
      <rPr>
        <b/>
        <sz val="12"/>
        <rFont val="Arial"/>
        <family val="0"/>
      </rPr>
      <t xml:space="preserve"> Supplement Program</t>
    </r>
  </si>
  <si>
    <t>INPUT - Estimated costs for vehicles used in delivering supplement</t>
  </si>
  <si>
    <t>Containers per feeding</t>
  </si>
  <si>
    <t>Labor hours per feeding/inspection</t>
  </si>
  <si>
    <t>Supplement provided</t>
  </si>
  <si>
    <t>Pounds/head/day</t>
  </si>
  <si>
    <t>Pounds/head/feeding period</t>
  </si>
  <si>
    <t>Total pounds/feeding period</t>
  </si>
  <si>
    <t xml:space="preserve">    Page down for Output</t>
  </si>
  <si>
    <t>Total delivery cost</t>
  </si>
  <si>
    <r>
      <t>Supplement program comparisons</t>
    </r>
    <r>
      <rPr>
        <sz val="11"/>
        <rFont val="Arial"/>
        <family val="2"/>
      </rPr>
      <t xml:space="preserve"> -- compare up to 5 different supplement programs on a total cost basis.</t>
    </r>
  </si>
  <si>
    <t>Date when supplement period begins</t>
  </si>
  <si>
    <t>Projected ending date of supplement period</t>
  </si>
  <si>
    <t>Beginning date</t>
  </si>
  <si>
    <t>Ending date</t>
  </si>
  <si>
    <t>Jan</t>
  </si>
  <si>
    <t>Feb</t>
  </si>
  <si>
    <t>Mar</t>
  </si>
  <si>
    <t>Crystal Clear Economyx™ is the property of Ridley Block Operations.</t>
  </si>
  <si>
    <r>
      <t>1</t>
    </r>
    <r>
      <rPr>
        <sz val="10"/>
        <rFont val="Arial"/>
        <family val="2"/>
      </rPr>
      <t>Annual cost = (depreciation + interest + repairs, taxes, and insurance) x percent allocated to supplement.</t>
    </r>
  </si>
  <si>
    <t>Total days herd is supplemented</t>
  </si>
  <si>
    <r>
      <t xml:space="preserve">1 </t>
    </r>
    <r>
      <rPr>
        <sz val="10"/>
        <rFont val="Arial"/>
        <family val="2"/>
      </rPr>
      <t>Only enter the amount that is attributable to feeding supplement.</t>
    </r>
  </si>
  <si>
    <t>Feeding frequency (e.g., daily=1, weekly=7)</t>
  </si>
  <si>
    <t>Naturalyx™</t>
  </si>
  <si>
    <t>HE-12%™</t>
  </si>
  <si>
    <t>HE-20%™</t>
  </si>
  <si>
    <t>Sweet 14%™</t>
  </si>
  <si>
    <t>CSG-20™</t>
  </si>
  <si>
    <t>Sheep-Lyx™</t>
  </si>
  <si>
    <t>BGF-30™</t>
  </si>
  <si>
    <t>HP-40™</t>
  </si>
  <si>
    <t>Replacement Heifer™</t>
  </si>
  <si>
    <t>Goat-lyx™</t>
  </si>
  <si>
    <t>Product being used ---</t>
  </si>
  <si>
    <r>
      <t>Crystalyx</t>
    </r>
    <r>
      <rPr>
        <vertAlign val="superscript"/>
        <sz val="11"/>
        <rFont val="Arial"/>
        <family val="2"/>
      </rPr>
      <t>®</t>
    </r>
    <r>
      <rPr>
        <sz val="11"/>
        <rFont val="Arial"/>
        <family val="2"/>
      </rPr>
      <t xml:space="preserve"> product name</t>
    </r>
  </si>
  <si>
    <r>
      <t>Disclaimer</t>
    </r>
    <r>
      <rPr>
        <i/>
        <sz val="11"/>
        <rFont val="Arial"/>
        <family val="2"/>
      </rPr>
      <t xml:space="preserve"> -- This supplement feeding schedule is generated for planning purposes only based on expected consumption.  Actual supplement required can vary based on actual consumption given specific production conditions.  Read the label for expected Crystalyx</t>
    </r>
    <r>
      <rPr>
        <i/>
        <vertAlign val="superscript"/>
        <sz val="11"/>
        <rFont val="Arial"/>
        <family val="2"/>
      </rPr>
      <t>®</t>
    </r>
    <r>
      <rPr>
        <i/>
        <sz val="11"/>
        <rFont val="Arial"/>
        <family val="2"/>
      </rPr>
      <t xml:space="preserve"> intake and suggested intake management techniques for each specific product.</t>
    </r>
  </si>
  <si>
    <t>Equipment type</t>
  </si>
  <si>
    <t>Total cost per head per day</t>
  </si>
  <si>
    <t>Total cost per head for supplement period</t>
  </si>
  <si>
    <t>Total cost for the herd for entire period</t>
  </si>
  <si>
    <t>Labor requirements per cow for feeding period</t>
  </si>
  <si>
    <t>Labor Sensitivity Analysis</t>
  </si>
  <si>
    <t>Labor cost to breakeven with low cost program, $/hr.</t>
  </si>
  <si>
    <t>Crystalyx</t>
  </si>
  <si>
    <t>INPUTS vs CALCULATED VALUES</t>
  </si>
  <si>
    <t>DESCRIPTION OF INPUTS</t>
  </si>
  <si>
    <r>
      <t xml:space="preserve">Several of the input cells (i.e., </t>
    </r>
    <r>
      <rPr>
        <sz val="11"/>
        <color indexed="12"/>
        <rFont val="Arial"/>
        <family val="2"/>
      </rPr>
      <t>blue number</t>
    </r>
    <r>
      <rPr>
        <sz val="11"/>
        <rFont val="Arial"/>
        <family val="2"/>
      </rPr>
      <t xml:space="preserve">) have a </t>
    </r>
    <r>
      <rPr>
        <sz val="11"/>
        <color indexed="10"/>
        <rFont val="Arial"/>
        <family val="2"/>
      </rPr>
      <t>red diamond</t>
    </r>
    <r>
      <rPr>
        <sz val="11"/>
        <rFont val="Arial"/>
        <family val="2"/>
      </rPr>
      <t xml:space="preserve"> in the upper right hand corner of the cell.  By moving your mouse cursor over this diamond, a brief description of the input will be displayed on the screen.</t>
    </r>
  </si>
  <si>
    <r>
      <t>Labor cost, $/hour</t>
    </r>
    <r>
      <rPr>
        <vertAlign val="superscript"/>
        <sz val="11"/>
        <rFont val="Arial"/>
        <family val="2"/>
      </rPr>
      <t>1</t>
    </r>
  </si>
  <si>
    <r>
      <t>Pickup/truck cost, $/mile</t>
    </r>
    <r>
      <rPr>
        <vertAlign val="superscript"/>
        <sz val="11"/>
        <rFont val="Arial"/>
        <family val="2"/>
      </rPr>
      <t>1</t>
    </r>
  </si>
  <si>
    <r>
      <t>Tractor cost, $/hour</t>
    </r>
    <r>
      <rPr>
        <vertAlign val="superscript"/>
        <sz val="11"/>
        <rFont val="Arial"/>
        <family val="2"/>
      </rPr>
      <t>1</t>
    </r>
    <r>
      <rPr>
        <sz val="11"/>
        <rFont val="Arial"/>
        <family val="2"/>
      </rPr>
      <t xml:space="preserve"> </t>
    </r>
  </si>
  <si>
    <t>Annual repairs &amp; maintenance, $</t>
  </si>
  <si>
    <t>Taxes, insurance, and license, $</t>
  </si>
  <si>
    <t>Supplement cost, $/ton</t>
  </si>
  <si>
    <t>Roundtrip miles to provide supplement</t>
  </si>
  <si>
    <t>Labor, hours per feeding/inspection</t>
  </si>
  <si>
    <t>Tractor, hours/feeding</t>
  </si>
  <si>
    <t>Supplement cost (including waste)</t>
  </si>
  <si>
    <r>
      <t>PRINTING</t>
    </r>
    <r>
      <rPr>
        <b/>
        <sz val="11"/>
        <rFont val="Arial"/>
        <family val="2"/>
      </rPr>
      <t xml:space="preserve"> -- </t>
    </r>
    <r>
      <rPr>
        <sz val="11"/>
        <rFont val="Arial"/>
        <family val="2"/>
      </rPr>
      <t>Printing of reports should be done with "</t>
    </r>
    <r>
      <rPr>
        <b/>
        <sz val="11"/>
        <color indexed="10"/>
        <rFont val="Arial"/>
        <family val="2"/>
      </rPr>
      <t>print</t>
    </r>
    <r>
      <rPr>
        <sz val="11"/>
        <rFont val="Arial"/>
        <family val="2"/>
      </rPr>
      <t xml:space="preserve"> or </t>
    </r>
    <r>
      <rPr>
        <b/>
        <sz val="11"/>
        <color indexed="17"/>
        <rFont val="Arial"/>
        <family val="2"/>
      </rPr>
      <t>preview/print</t>
    </r>
    <r>
      <rPr>
        <sz val="11"/>
        <rFont val="Arial"/>
        <family val="2"/>
      </rPr>
      <t xml:space="preserve"> buttons" and not Excel print commands.</t>
    </r>
  </si>
  <si>
    <t>Container size used ---</t>
  </si>
  <si>
    <t>Supplement container size (lbs/barrel)</t>
  </si>
  <si>
    <t>250 pound barrel</t>
  </si>
  <si>
    <t>125 pound barrel</t>
  </si>
  <si>
    <t>Super MAG™</t>
  </si>
  <si>
    <r>
      <t xml:space="preserve">Supplement available at beginning of </t>
    </r>
    <r>
      <rPr>
        <u val="single"/>
        <sz val="11"/>
        <color indexed="9"/>
        <rFont val="Arial"/>
        <family val="2"/>
      </rPr>
      <t>feeding period, lbs</t>
    </r>
  </si>
  <si>
    <r>
      <t xml:space="preserve">Supplement remaining      at end of current      </t>
    </r>
    <r>
      <rPr>
        <u val="single"/>
        <sz val="11"/>
        <color indexed="9"/>
        <rFont val="Arial"/>
        <family val="2"/>
      </rPr>
      <t>feeding period, lbs</t>
    </r>
  </si>
  <si>
    <t>Dec</t>
  </si>
  <si>
    <t>Fuel and oil (per mile/hour), $</t>
  </si>
  <si>
    <t>Apr</t>
  </si>
  <si>
    <t>May</t>
  </si>
  <si>
    <t>Jun</t>
  </si>
  <si>
    <t>Jul</t>
  </si>
  <si>
    <t>Aug</t>
  </si>
  <si>
    <t>Sep</t>
  </si>
  <si>
    <t>Oct</t>
  </si>
  <si>
    <t>Nov</t>
  </si>
  <si>
    <t xml:space="preserve">    Page down for Feeding Schedule</t>
  </si>
  <si>
    <t>Supplement cost/ton</t>
  </si>
  <si>
    <t>Supplement feeding considerations</t>
  </si>
  <si>
    <t>Supplement feeding costs per head</t>
  </si>
  <si>
    <t>Supplement cost as % of total</t>
  </si>
  <si>
    <t>Estimated wastage, %</t>
  </si>
  <si>
    <t>Tractor hours/feeding</t>
  </si>
  <si>
    <t>INPUT - Cost of equipment used for feeding supplement</t>
  </si>
  <si>
    <t>Interest rate</t>
  </si>
  <si>
    <t>($)</t>
  </si>
  <si>
    <t>(yrs)</t>
  </si>
  <si>
    <t>(%)</t>
  </si>
  <si>
    <t>Market value</t>
  </si>
  <si>
    <t>Salvage value</t>
  </si>
  <si>
    <t>Useful life, years</t>
  </si>
  <si>
    <t>Annual use (miles/hours)</t>
  </si>
  <si>
    <t>Pickup</t>
  </si>
  <si>
    <t>Truck</t>
  </si>
  <si>
    <t>Tractor</t>
  </si>
  <si>
    <t>Other</t>
  </si>
  <si>
    <t>Roundtrip miles to feed</t>
  </si>
  <si>
    <t>Supplement provided, lb/hd/day (as fed)</t>
  </si>
  <si>
    <t>General description of herd</t>
  </si>
  <si>
    <t>Number of head in herd</t>
  </si>
  <si>
    <t>Cubes</t>
  </si>
  <si>
    <t>General Feeding and Cost Information</t>
  </si>
  <si>
    <t>Equipment counter table</t>
  </si>
  <si>
    <t>Equpment counter table is down below (row 67)</t>
  </si>
  <si>
    <t>Crystal Clear Economic Comparison</t>
  </si>
  <si>
    <t>Feeding frequency (days between feedings)</t>
  </si>
  <si>
    <t>Containers per feeding calculations</t>
  </si>
  <si>
    <t>Total number of head</t>
  </si>
  <si>
    <t>Daily intake per head</t>
  </si>
  <si>
    <t>Total daily consumption, lbs</t>
  </si>
  <si>
    <t>Days between feedings</t>
  </si>
  <si>
    <t>Container size, lbs</t>
  </si>
  <si>
    <t>&lt;= input</t>
  </si>
  <si>
    <t>&lt;= calc</t>
  </si>
  <si>
    <t>Total supplement required between feedings</t>
  </si>
  <si>
    <t>Floor (minimum containers between feedings)</t>
  </si>
  <si>
    <t>Ceiling (maximum containers between feedings)</t>
  </si>
  <si>
    <t>Head per container with floor</t>
  </si>
  <si>
    <t>Head per container with ceiling</t>
  </si>
  <si>
    <t>Feeding number/date</t>
  </si>
  <si>
    <t>Estimated head/container</t>
  </si>
  <si>
    <r>
      <t xml:space="preserve">Containers </t>
    </r>
    <r>
      <rPr>
        <u val="single"/>
        <sz val="11"/>
        <rFont val="Arial"/>
        <family val="2"/>
      </rPr>
      <t>this feeding</t>
    </r>
  </si>
  <si>
    <r>
      <t xml:space="preserve">Containers </t>
    </r>
    <r>
      <rPr>
        <u val="single"/>
        <sz val="11"/>
        <rFont val="Arial"/>
        <family val="2"/>
      </rPr>
      <t>to-date</t>
    </r>
  </si>
  <si>
    <t>Crystalyx products</t>
  </si>
  <si>
    <t>An economic comparison spreadsheet program</t>
  </si>
  <si>
    <t>that will compare the total costs of feed supplement</t>
  </si>
  <si>
    <r>
      <t>programs to those of Crystalyx</t>
    </r>
    <r>
      <rPr>
        <b/>
        <vertAlign val="superscript"/>
        <sz val="12"/>
        <color indexed="9"/>
        <rFont val="Arial"/>
        <family val="2"/>
      </rPr>
      <t>®</t>
    </r>
    <r>
      <rPr>
        <b/>
        <sz val="12"/>
        <color indexed="9"/>
        <rFont val="Arial"/>
        <family val="2"/>
      </rPr>
      <t xml:space="preserve"> Brand Supplements.</t>
    </r>
  </si>
  <si>
    <t>Page down for section on estimating vehicle cost per unit (mile/hour) of use.</t>
  </si>
  <si>
    <t>Supplement feeding costs</t>
  </si>
  <si>
    <t>$/hd/day</t>
  </si>
  <si>
    <t>$/head</t>
  </si>
  <si>
    <t>$/herd</t>
  </si>
  <si>
    <t>Total supplement cost</t>
  </si>
  <si>
    <r>
      <t>Equipment</t>
    </r>
    <r>
      <rPr>
        <sz val="11"/>
        <rFont val="Arial"/>
        <family val="2"/>
      </rPr>
      <t xml:space="preserve"> -- investment and cost information for up to 12 different types of equipment are identified.</t>
    </r>
  </si>
  <si>
    <t>Liquid tank feeder</t>
  </si>
  <si>
    <t>Flat storage</t>
  </si>
  <si>
    <t>Liquid</t>
  </si>
  <si>
    <t>Salt Meal Mix</t>
  </si>
  <si>
    <t>Supplement program/product name</t>
  </si>
  <si>
    <r>
      <t>Number of head in herd (</t>
    </r>
    <r>
      <rPr>
        <i/>
        <sz val="11"/>
        <rFont val="Arial"/>
        <family val="2"/>
      </rPr>
      <t>must enter number &gt; zero</t>
    </r>
    <r>
      <rPr>
        <sz val="11"/>
        <rFont val="Arial"/>
        <family val="2"/>
      </rPr>
      <t>)</t>
    </r>
  </si>
  <si>
    <t>Mineral feeder -- wind</t>
  </si>
  <si>
    <t>Mineral feeder -- tire</t>
  </si>
  <si>
    <t>Range meal feeder</t>
  </si>
  <si>
    <t>Delivery cost (non-supplement costs)</t>
  </si>
  <si>
    <t>Feeding frequency (e.g., daily=1, weekly=7, bi-weekly=14)</t>
  </si>
  <si>
    <t>Total delievery cost</t>
  </si>
  <si>
    <t>Equipment</t>
  </si>
  <si>
    <t>Labor</t>
  </si>
  <si>
    <t>Pickup/truck</t>
  </si>
  <si>
    <t>Supplement feeding information</t>
  </si>
  <si>
    <t>Supplement required</t>
  </si>
  <si>
    <t>lb/hd/day</t>
  </si>
  <si>
    <t>lb/head</t>
  </si>
  <si>
    <t>lb/herd</t>
  </si>
  <si>
    <t>60 pound container</t>
  </si>
  <si>
    <r>
      <t xml:space="preserve">Crystalyx® </t>
    </r>
    <r>
      <rPr>
        <sz val="11"/>
        <rFont val="Arial"/>
        <family val="2"/>
      </rPr>
      <t>-- calculates the total cost of supplementing with Crystalyx</t>
    </r>
    <r>
      <rPr>
        <vertAlign val="superscript"/>
        <sz val="11"/>
        <rFont val="Arial"/>
        <family val="2"/>
      </rPr>
      <t>®</t>
    </r>
    <r>
      <rPr>
        <sz val="11"/>
        <rFont val="Arial"/>
        <family val="2"/>
      </rPr>
      <t xml:space="preserve"> Brand Supplements.</t>
    </r>
  </si>
  <si>
    <r>
      <t>In the various sheets (</t>
    </r>
    <r>
      <rPr>
        <b/>
        <i/>
        <sz val="11"/>
        <rFont val="Arial"/>
        <family val="2"/>
      </rPr>
      <t>Crystalyx®</t>
    </r>
    <r>
      <rPr>
        <sz val="11"/>
        <rFont val="Arial"/>
        <family val="2"/>
      </rPr>
      <t xml:space="preserve">, </t>
    </r>
    <r>
      <rPr>
        <b/>
        <i/>
        <sz val="11"/>
        <rFont val="Arial"/>
        <family val="2"/>
      </rPr>
      <t>Supplement program comparisons</t>
    </r>
    <r>
      <rPr>
        <sz val="11"/>
        <rFont val="Arial"/>
        <family val="2"/>
      </rPr>
      <t xml:space="preserve">, and </t>
    </r>
    <r>
      <rPr>
        <b/>
        <i/>
        <sz val="11"/>
        <rFont val="Arial"/>
        <family val="2"/>
      </rPr>
      <t>Equipment</t>
    </r>
    <r>
      <rPr>
        <sz val="11"/>
        <rFont val="Arial"/>
        <family val="2"/>
      </rPr>
      <t xml:space="preserve">) all </t>
    </r>
    <r>
      <rPr>
        <sz val="11"/>
        <color indexed="12"/>
        <rFont val="Arial"/>
        <family val="2"/>
      </rPr>
      <t>blue</t>
    </r>
    <r>
      <rPr>
        <sz val="11"/>
        <rFont val="Arial"/>
        <family val="2"/>
      </rPr>
      <t xml:space="preserve"> numbers are inputs and all black numbers are calculated from these inputs.  Default information previously entered in the </t>
    </r>
    <r>
      <rPr>
        <b/>
        <i/>
        <sz val="11"/>
        <rFont val="Arial"/>
        <family val="2"/>
      </rPr>
      <t>Equipment</t>
    </r>
    <r>
      <rPr>
        <sz val="11"/>
        <rFont val="Arial"/>
        <family val="2"/>
      </rPr>
      <t xml:space="preserve"> sheet can be modified but it is not required.  </t>
    </r>
  </si>
  <si>
    <t>DESCRIPTION OF "SHEETS" (see tabs at bottom of screen)</t>
  </si>
  <si>
    <r>
      <t xml:space="preserve">General Feeding Information (inputs entered in </t>
    </r>
    <r>
      <rPr>
        <b/>
        <i/>
        <sz val="12"/>
        <rFont val="Arial"/>
        <family val="0"/>
      </rPr>
      <t>Crystalyx®</t>
    </r>
    <r>
      <rPr>
        <b/>
        <sz val="12"/>
        <rFont val="Arial"/>
        <family val="0"/>
      </rPr>
      <t xml:space="preserve"> sheet)</t>
    </r>
  </si>
  <si>
    <t>25% Beef™</t>
  </si>
  <si>
    <t>20% Beef™</t>
  </si>
  <si>
    <t>NOTE: To see the code for what Steve did with equipment go to View / Toolbars / Visual Basic and then click on Visual Basic Editor</t>
  </si>
  <si>
    <t>Natural-20™</t>
  </si>
  <si>
    <t>Natural-27™</t>
  </si>
  <si>
    <t>Hi-Mag Tasco-lyx</t>
  </si>
  <si>
    <t>Fescue-Phos™</t>
  </si>
  <si>
    <t>CRYSTALYX®</t>
  </si>
  <si>
    <t>Mineral-lyx™</t>
  </si>
  <si>
    <t>Premium Goat &amp; Sheep™</t>
  </si>
  <si>
    <t>Metabol-lyx™</t>
  </si>
  <si>
    <t>Crystalyx product list is down below (row 98)</t>
  </si>
  <si>
    <r>
      <t>Disclaimer</t>
    </r>
    <r>
      <rPr>
        <i/>
        <sz val="11"/>
        <rFont val="Arial"/>
        <family val="2"/>
      </rPr>
      <t xml:space="preserve"> -- Crystal Clear Economics™ is intended to be used as a tool for evaluating supplement program economics.  Ridley Block Operations does not guarantee or imply any guarantee of animal performance, actual costs predicted by this program or of any costs used in the calculation within this program.  Best estimates of inputs are the responsibility of the user and not in any way accountable by Ridley Block Operations.</t>
    </r>
  </si>
  <si>
    <t>Useful Life</t>
  </si>
  <si>
    <t>Market Value</t>
  </si>
  <si>
    <t>Repairs, taxes, and insurance (RTI)</t>
  </si>
  <si>
    <t>Allocate to Supp.</t>
  </si>
  <si>
    <t>Annual cost/head</t>
  </si>
  <si>
    <r>
      <t>Annual Cost</t>
    </r>
    <r>
      <rPr>
        <b/>
        <vertAlign val="superscript"/>
        <sz val="11"/>
        <color indexed="9"/>
        <rFont val="Arial"/>
        <family val="2"/>
      </rPr>
      <t>1</t>
    </r>
  </si>
  <si>
    <t>200 pound Biodegradable</t>
  </si>
  <si>
    <r>
      <t>Crystalyx</t>
    </r>
    <r>
      <rPr>
        <b/>
        <u val="single"/>
        <vertAlign val="superscript"/>
        <sz val="11"/>
        <color indexed="9"/>
        <rFont val="Arial"/>
        <family val="2"/>
      </rPr>
      <t>®</t>
    </r>
    <r>
      <rPr>
        <b/>
        <u val="single"/>
        <sz val="11"/>
        <color indexed="9"/>
        <rFont val="Arial"/>
        <family val="2"/>
      </rPr>
      <t xml:space="preserve"> Supplement Program</t>
    </r>
  </si>
  <si>
    <r>
      <t>Tasco</t>
    </r>
    <r>
      <rPr>
        <b/>
        <vertAlign val="superscript"/>
        <sz val="11"/>
        <color indexed="12"/>
        <rFont val="Arial"/>
        <family val="2"/>
      </rPr>
      <t>®</t>
    </r>
    <r>
      <rPr>
        <b/>
        <sz val="11"/>
        <color indexed="12"/>
        <rFont val="Arial"/>
        <family val="2"/>
      </rPr>
      <t xml:space="preserve"> 35-CP</t>
    </r>
  </si>
  <si>
    <r>
      <t>CRYSTALYX VP</t>
    </r>
    <r>
      <rPr>
        <b/>
        <vertAlign val="superscript"/>
        <sz val="11"/>
        <color indexed="12"/>
        <rFont val="Arial"/>
        <family val="2"/>
      </rPr>
      <t>®</t>
    </r>
    <r>
      <rPr>
        <b/>
        <sz val="11"/>
        <color indexed="12"/>
        <rFont val="Arial"/>
        <family val="2"/>
      </rPr>
      <t>-20</t>
    </r>
  </si>
  <si>
    <r>
      <t>CRYSTALYX VP</t>
    </r>
    <r>
      <rPr>
        <b/>
        <vertAlign val="superscript"/>
        <sz val="11"/>
        <color indexed="12"/>
        <rFont val="Arial"/>
        <family val="2"/>
      </rPr>
      <t>®</t>
    </r>
    <r>
      <rPr>
        <b/>
        <sz val="11"/>
        <color indexed="12"/>
        <rFont val="Arial"/>
        <family val="2"/>
      </rPr>
      <t>-30</t>
    </r>
  </si>
  <si>
    <r>
      <t>Fescue-lyx</t>
    </r>
    <r>
      <rPr>
        <b/>
        <vertAlign val="superscript"/>
        <sz val="11"/>
        <color indexed="12"/>
        <rFont val="Arial"/>
        <family val="2"/>
      </rPr>
      <t>®</t>
    </r>
  </si>
  <si>
    <r>
      <t>Hi-Mag Fescue-lyx</t>
    </r>
    <r>
      <rPr>
        <b/>
        <vertAlign val="superscript"/>
        <sz val="11"/>
        <color indexed="12"/>
        <rFont val="Arial"/>
        <family val="2"/>
      </rPr>
      <t>®</t>
    </r>
  </si>
  <si>
    <r>
      <t>Wheat-lyx</t>
    </r>
    <r>
      <rPr>
        <b/>
        <vertAlign val="superscript"/>
        <sz val="11"/>
        <color indexed="12"/>
        <rFont val="Arial"/>
        <family val="2"/>
      </rPr>
      <t>®</t>
    </r>
  </si>
  <si>
    <r>
      <t>Crystal-Phos</t>
    </r>
    <r>
      <rPr>
        <b/>
        <vertAlign val="superscript"/>
        <sz val="11"/>
        <color indexed="12"/>
        <rFont val="Arial"/>
        <family val="2"/>
      </rPr>
      <t>®</t>
    </r>
  </si>
  <si>
    <r>
      <t>Beef-lyx</t>
    </r>
    <r>
      <rPr>
        <b/>
        <vertAlign val="superscript"/>
        <sz val="11"/>
        <color indexed="12"/>
        <rFont val="Arial"/>
        <family val="2"/>
      </rPr>
      <t>®</t>
    </r>
  </si>
  <si>
    <r>
      <t>Brigade</t>
    </r>
    <r>
      <rPr>
        <b/>
        <vertAlign val="superscript"/>
        <sz val="11"/>
        <color indexed="12"/>
        <rFont val="Arial"/>
        <family val="2"/>
      </rPr>
      <t>®</t>
    </r>
  </si>
  <si>
    <r>
      <t>Stable-lyx</t>
    </r>
    <r>
      <rPr>
        <b/>
        <vertAlign val="superscript"/>
        <sz val="11"/>
        <color indexed="12"/>
        <rFont val="Arial"/>
        <family val="2"/>
      </rPr>
      <t>®</t>
    </r>
  </si>
  <si>
    <r>
      <t>Rolyx</t>
    </r>
    <r>
      <rPr>
        <b/>
        <vertAlign val="superscript"/>
        <sz val="11"/>
        <color indexed="12"/>
        <rFont val="Arial"/>
        <family val="2"/>
      </rPr>
      <t>®</t>
    </r>
    <r>
      <rPr>
        <b/>
        <sz val="11"/>
        <color indexed="12"/>
        <rFont val="Arial"/>
        <family val="2"/>
      </rPr>
      <t xml:space="preserve"> Pro</t>
    </r>
  </si>
  <si>
    <r>
      <t>Rolyx</t>
    </r>
    <r>
      <rPr>
        <b/>
        <vertAlign val="superscript"/>
        <sz val="11"/>
        <color indexed="12"/>
        <rFont val="Arial"/>
        <family val="2"/>
      </rPr>
      <t>®</t>
    </r>
    <r>
      <rPr>
        <b/>
        <sz val="11"/>
        <color indexed="12"/>
        <rFont val="Arial"/>
        <family val="2"/>
      </rPr>
      <t xml:space="preserve"> Max</t>
    </r>
  </si>
  <si>
    <r>
      <t>Rolyx</t>
    </r>
    <r>
      <rPr>
        <b/>
        <vertAlign val="superscript"/>
        <sz val="11"/>
        <color indexed="12"/>
        <rFont val="Arial"/>
        <family val="2"/>
      </rPr>
      <t>®</t>
    </r>
    <r>
      <rPr>
        <b/>
        <sz val="11"/>
        <color indexed="12"/>
        <rFont val="Arial"/>
        <family val="2"/>
      </rPr>
      <t xml:space="preserve"> Fescue-Mag</t>
    </r>
  </si>
  <si>
    <r>
      <t>IONO-LYX</t>
    </r>
    <r>
      <rPr>
        <b/>
        <vertAlign val="superscript"/>
        <sz val="11"/>
        <color indexed="12"/>
        <rFont val="Arial"/>
        <family val="2"/>
      </rPr>
      <t>®</t>
    </r>
    <r>
      <rPr>
        <b/>
        <sz val="11"/>
        <color indexed="12"/>
        <rFont val="Arial"/>
        <family val="2"/>
      </rPr>
      <t xml:space="preserve"> B300</t>
    </r>
  </si>
  <si>
    <t>Product Name and Container Size Input</t>
  </si>
  <si>
    <r>
      <t xml:space="preserve">This sheet contains supporting information for formulas in other sheets -- D0 NOT Move Information Conatined in </t>
    </r>
    <r>
      <rPr>
        <b/>
        <sz val="12"/>
        <color indexed="10"/>
        <rFont val="Arial"/>
        <family val="2"/>
      </rPr>
      <t>B69:L177</t>
    </r>
  </si>
  <si>
    <t>Include Truck Costs?</t>
  </si>
  <si>
    <r>
      <t>Total containers required</t>
    </r>
    <r>
      <rPr>
        <sz val="8"/>
        <rFont val="Arial"/>
        <family val="2"/>
      </rPr>
      <t xml:space="preserve"> (partial containers are rounded up to full container)</t>
    </r>
  </si>
  <si>
    <t>Version 5.0</t>
  </si>
  <si>
    <t>----</t>
  </si>
  <si>
    <t>Clear Profit Ranch</t>
  </si>
  <si>
    <t>Composite Block</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</si>
</sst>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
    <numFmt numFmtId="166" formatCode="0.0"/>
    <numFmt numFmtId="167" formatCode="&quot;$&quot;#,##0.00"/>
    <numFmt numFmtId="168" formatCode="&quot;$&quot;#,##0.000"/>
    <numFmt numFmtId="169" formatCode="0.0%"/>
    <numFmt numFmtId="170" formatCode="0.0000"/>
    <numFmt numFmtId="171" formatCode="0.000"/>
    <numFmt numFmtId="172" formatCode="&quot;$&quot;#,##0.0"/>
    <numFmt numFmtId="173" formatCode="0.00000000"/>
    <numFmt numFmtId="174" formatCode="0.0000000"/>
    <numFmt numFmtId="175" formatCode="0.0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mm/dd/yy"/>
    <numFmt numFmtId="183" formatCode="&quot;True&quot;;&quot;##&quot;;[White]&quot;False&quot;"/>
    <numFmt numFmtId="184" formatCode="&quot;True&quot;;&quot;#,##0&quot;;[White]&quot;False&quot;"/>
    <numFmt numFmtId="185" formatCode="&quot;True&quot;;#,##0;[White]&quot;False&quot;"/>
    <numFmt numFmtId="186" formatCode="0;&quot;True&quot;;[White]&quot;False&quot;"/>
    <numFmt numFmtId="187" formatCode="[$-409]dddd\,\ mmmm\ dd\,\ yyyy"/>
    <numFmt numFmtId="188" formatCode="#,##0;[Red]#,##0"/>
    <numFmt numFmtId="189" formatCode="#,##0_);[Red]\-#,##0"/>
    <numFmt numFmtId="190" formatCode="\ \ #,##0_);[Red]\-#,##0"/>
    <numFmt numFmtId="191" formatCode="\ \ #,##0_);\-#,##0"/>
    <numFmt numFmtId="192" formatCode="mm/dd/yy;@"/>
    <numFmt numFmtId="193" formatCode="\$#,##0"/>
  </numFmts>
  <fonts count="84">
    <font>
      <sz val="12"/>
      <name val="Arial"/>
      <family val="0"/>
    </font>
    <font>
      <b/>
      <sz val="10"/>
      <name val="Arial"/>
      <family val="0"/>
    </font>
    <font>
      <i/>
      <sz val="10"/>
      <name val="Arial"/>
      <family val="0"/>
    </font>
    <font>
      <b/>
      <i/>
      <sz val="10"/>
      <name val="Arial"/>
      <family val="0"/>
    </font>
    <font>
      <b/>
      <sz val="11"/>
      <name val="Arial"/>
      <family val="2"/>
    </font>
    <font>
      <sz val="11"/>
      <name val="Arial"/>
      <family val="2"/>
    </font>
    <font>
      <sz val="11"/>
      <color indexed="12"/>
      <name val="Arial"/>
      <family val="2"/>
    </font>
    <font>
      <vertAlign val="superscript"/>
      <sz val="11"/>
      <name val="Arial"/>
      <family val="2"/>
    </font>
    <font>
      <sz val="10"/>
      <name val="Arial"/>
      <family val="2"/>
    </font>
    <font>
      <u val="single"/>
      <sz val="11"/>
      <name val="Arial"/>
      <family val="2"/>
    </font>
    <font>
      <b/>
      <i/>
      <sz val="11"/>
      <name val="Arial"/>
      <family val="2"/>
    </font>
    <font>
      <b/>
      <u val="single"/>
      <sz val="11"/>
      <name val="Arial"/>
      <family val="2"/>
    </font>
    <font>
      <sz val="11"/>
      <color indexed="10"/>
      <name val="Arial"/>
      <family val="2"/>
    </font>
    <font>
      <b/>
      <sz val="11"/>
      <color indexed="9"/>
      <name val="Arial"/>
      <family val="2"/>
    </font>
    <font>
      <b/>
      <sz val="12"/>
      <color indexed="9"/>
      <name val="Arial"/>
      <family val="2"/>
    </font>
    <font>
      <b/>
      <i/>
      <sz val="12"/>
      <color indexed="9"/>
      <name val="Arial"/>
      <family val="2"/>
    </font>
    <font>
      <sz val="10"/>
      <name val="Tahoma"/>
      <family val="2"/>
    </font>
    <font>
      <b/>
      <sz val="12"/>
      <name val="Arial"/>
      <family val="2"/>
    </font>
    <font>
      <b/>
      <i/>
      <sz val="11"/>
      <color indexed="17"/>
      <name val="Arial"/>
      <family val="2"/>
    </font>
    <font>
      <b/>
      <sz val="11"/>
      <color indexed="17"/>
      <name val="Arial"/>
      <family val="2"/>
    </font>
    <font>
      <i/>
      <sz val="11"/>
      <name val="Arial"/>
      <family val="2"/>
    </font>
    <font>
      <i/>
      <sz val="12"/>
      <name val="Arial"/>
      <family val="2"/>
    </font>
    <font>
      <u val="single"/>
      <sz val="10"/>
      <name val="Tahoma"/>
      <family val="2"/>
    </font>
    <font>
      <sz val="11"/>
      <color indexed="9"/>
      <name val="Arial"/>
      <family val="2"/>
    </font>
    <font>
      <b/>
      <sz val="11"/>
      <color indexed="10"/>
      <name val="Arial"/>
      <family val="2"/>
    </font>
    <font>
      <i/>
      <vertAlign val="superscript"/>
      <sz val="11"/>
      <name val="Arial"/>
      <family val="2"/>
    </font>
    <font>
      <b/>
      <vertAlign val="superscript"/>
      <sz val="12"/>
      <color indexed="9"/>
      <name val="Arial"/>
      <family val="2"/>
    </font>
    <font>
      <u val="single"/>
      <sz val="11"/>
      <color indexed="9"/>
      <name val="Arial"/>
      <family val="2"/>
    </font>
    <font>
      <sz val="12"/>
      <color indexed="9"/>
      <name val="Arial"/>
      <family val="2"/>
    </font>
    <font>
      <u val="single"/>
      <sz val="10.45"/>
      <color indexed="12"/>
      <name val="Arial"/>
      <family val="0"/>
    </font>
    <font>
      <u val="single"/>
      <sz val="10.45"/>
      <color indexed="36"/>
      <name val="Arial"/>
      <family val="0"/>
    </font>
    <font>
      <b/>
      <sz val="14"/>
      <name val="Arial"/>
      <family val="0"/>
    </font>
    <font>
      <b/>
      <sz val="13"/>
      <name val="Arial"/>
      <family val="0"/>
    </font>
    <font>
      <b/>
      <vertAlign val="superscript"/>
      <sz val="12"/>
      <name val="Arial"/>
      <family val="0"/>
    </font>
    <font>
      <b/>
      <i/>
      <sz val="12"/>
      <name val="Arial"/>
      <family val="0"/>
    </font>
    <font>
      <sz val="8"/>
      <name val="Tahoma"/>
      <family val="2"/>
    </font>
    <font>
      <b/>
      <sz val="11"/>
      <color indexed="12"/>
      <name val="Arial"/>
      <family val="2"/>
    </font>
    <font>
      <b/>
      <vertAlign val="superscript"/>
      <sz val="11"/>
      <color indexed="9"/>
      <name val="Arial"/>
      <family val="2"/>
    </font>
    <font>
      <b/>
      <u val="single"/>
      <sz val="11"/>
      <color indexed="9"/>
      <name val="Arial"/>
      <family val="2"/>
    </font>
    <font>
      <b/>
      <u val="single"/>
      <vertAlign val="superscript"/>
      <sz val="11"/>
      <color indexed="9"/>
      <name val="Arial"/>
      <family val="2"/>
    </font>
    <font>
      <b/>
      <vertAlign val="superscript"/>
      <sz val="11"/>
      <color indexed="12"/>
      <name val="Arial"/>
      <family val="2"/>
    </font>
    <font>
      <b/>
      <sz val="12"/>
      <color indexed="10"/>
      <name val="Arial"/>
      <family val="2"/>
    </font>
    <font>
      <sz val="11"/>
      <color indexed="8"/>
      <name val="Arial"/>
      <family val="2"/>
    </font>
    <font>
      <sz val="8"/>
      <name val="Arial"/>
      <family val="2"/>
    </font>
    <font>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b/>
      <sz val="12"/>
      <color indexed="8"/>
      <name val="Arial"/>
      <family val="0"/>
    </font>
    <font>
      <b/>
      <sz val="13.25"/>
      <color indexed="8"/>
      <name val="Arial"/>
      <family val="0"/>
    </font>
    <font>
      <b/>
      <sz val="10.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9"/>
        <bgColor indexed="64"/>
      </patternFill>
    </fill>
    <fill>
      <patternFill patternType="darkUp">
        <bgColor indexed="63"/>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1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hair"/>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hair"/>
    </border>
    <border>
      <left>
        <color indexed="63"/>
      </left>
      <right style="thin"/>
      <top style="hair"/>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style="hair"/>
      <top>
        <color indexed="63"/>
      </top>
      <bottom style="hair"/>
    </border>
    <border>
      <left style="thin"/>
      <right>
        <color indexed="63"/>
      </right>
      <top style="thin"/>
      <bottom>
        <color indexed="63"/>
      </bottom>
    </border>
    <border>
      <left style="hair"/>
      <right style="hair"/>
      <top style="thin"/>
      <bottom style="hair"/>
    </border>
    <border>
      <left style="hair"/>
      <right style="thin"/>
      <top style="thin"/>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thin"/>
      <top style="thin"/>
      <bottom style="thin"/>
    </border>
    <border>
      <left style="thin"/>
      <right style="hair"/>
      <top style="hair"/>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thin"/>
      <right style="hair"/>
      <top style="thin"/>
      <bottom style="hair"/>
    </border>
    <border>
      <left style="thin"/>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color indexed="24"/>
      </right>
      <top>
        <color indexed="24"/>
      </top>
      <bottom style="thin"/>
    </border>
    <border>
      <left>
        <color indexed="24"/>
      </left>
      <right style="medium"/>
      <top>
        <color indexed="63"/>
      </top>
      <bottom style="thin"/>
    </border>
    <border>
      <left style="medium"/>
      <right>
        <color indexed="63"/>
      </right>
      <top style="thin"/>
      <bottom style="hair"/>
    </border>
    <border>
      <left>
        <color indexed="63"/>
      </left>
      <right>
        <color indexed="63"/>
      </right>
      <top>
        <color indexed="63"/>
      </top>
      <bottom style="hair">
        <color indexed="8"/>
      </bottom>
    </border>
    <border>
      <left style="medium"/>
      <right>
        <color indexed="63"/>
      </right>
      <top style="hair"/>
      <bottom style="hair"/>
    </border>
    <border>
      <left>
        <color indexed="63"/>
      </left>
      <right>
        <color indexed="63"/>
      </right>
      <top style="hair">
        <color indexed="8"/>
      </top>
      <bottom style="hair">
        <color indexed="8"/>
      </bottom>
    </border>
    <border>
      <left style="medium"/>
      <right>
        <color indexed="63"/>
      </right>
      <top style="hair"/>
      <bottom style="medium"/>
    </border>
    <border>
      <left>
        <color indexed="63"/>
      </left>
      <right>
        <color indexed="63"/>
      </right>
      <top style="hair"/>
      <bottom style="medium"/>
    </border>
    <border>
      <left>
        <color indexed="63"/>
      </left>
      <right style="medium"/>
      <top>
        <color indexed="63"/>
      </top>
      <bottom style="hair">
        <color indexed="8"/>
      </bottom>
    </border>
    <border>
      <left>
        <color indexed="63"/>
      </left>
      <right style="medium"/>
      <top style="hair">
        <color indexed="8"/>
      </top>
      <bottom style="hair">
        <color indexed="8"/>
      </bottom>
    </border>
    <border>
      <left>
        <color indexed="63"/>
      </left>
      <right>
        <color indexed="63"/>
      </right>
      <top style="hair">
        <color indexed="8"/>
      </top>
      <bottom>
        <color indexed="63"/>
      </bottom>
    </border>
    <border>
      <left>
        <color indexed="63"/>
      </left>
      <right style="medium"/>
      <top style="hair">
        <color indexed="8"/>
      </top>
      <bottom>
        <color indexed="63"/>
      </bottom>
    </border>
    <border>
      <left>
        <color indexed="63"/>
      </left>
      <right style="thin"/>
      <top style="thin"/>
      <bottom>
        <color indexed="63"/>
      </bottom>
    </border>
    <border>
      <left>
        <color indexed="63"/>
      </left>
      <right>
        <color indexed="63"/>
      </right>
      <top>
        <color indexed="63"/>
      </top>
      <bottom style="thick"/>
    </border>
    <border>
      <left style="thin"/>
      <right>
        <color indexed="63"/>
      </right>
      <top style="medium"/>
      <bottom style="thin"/>
    </border>
    <border>
      <left>
        <color indexed="63"/>
      </left>
      <right style="thin"/>
      <top style="medium"/>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90">
    <xf numFmtId="0" fontId="0" fillId="0" borderId="0" xfId="0" applyAlignment="1">
      <alignment/>
    </xf>
    <xf numFmtId="0" fontId="4" fillId="33" borderId="10" xfId="0" applyFont="1" applyFill="1" applyBorder="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4" fillId="33" borderId="14" xfId="0" applyFont="1" applyFill="1" applyBorder="1" applyAlignment="1">
      <alignment/>
    </xf>
    <xf numFmtId="0" fontId="4" fillId="33" borderId="15" xfId="0" applyFont="1" applyFill="1" applyBorder="1" applyAlignment="1">
      <alignment/>
    </xf>
    <xf numFmtId="0" fontId="4" fillId="33" borderId="16" xfId="0" applyFont="1" applyFill="1" applyBorder="1" applyAlignment="1">
      <alignment/>
    </xf>
    <xf numFmtId="0" fontId="4" fillId="33" borderId="17" xfId="0" applyFont="1" applyFill="1" applyBorder="1" applyAlignment="1">
      <alignment/>
    </xf>
    <xf numFmtId="0" fontId="13" fillId="33" borderId="0" xfId="0" applyFont="1" applyFill="1" applyBorder="1" applyAlignment="1">
      <alignment/>
    </xf>
    <xf numFmtId="0" fontId="14" fillId="33" borderId="0" xfId="0" applyFont="1" applyFill="1" applyBorder="1" applyAlignment="1">
      <alignment/>
    </xf>
    <xf numFmtId="0" fontId="15" fillId="33" borderId="0" xfId="0" applyFont="1" applyFill="1" applyBorder="1" applyAlignment="1">
      <alignment/>
    </xf>
    <xf numFmtId="0" fontId="5" fillId="0" borderId="16" xfId="0" applyNumberFormat="1" applyFont="1" applyBorder="1" applyAlignment="1" applyProtection="1">
      <alignment/>
      <protection/>
    </xf>
    <xf numFmtId="0" fontId="5" fillId="0" borderId="0" xfId="0" applyNumberFormat="1" applyFont="1" applyAlignment="1" applyProtection="1">
      <alignment/>
      <protection/>
    </xf>
    <xf numFmtId="0" fontId="5" fillId="0" borderId="18" xfId="0" applyNumberFormat="1" applyFont="1" applyBorder="1" applyAlignment="1" applyProtection="1">
      <alignment/>
      <protection/>
    </xf>
    <xf numFmtId="0" fontId="5" fillId="0" borderId="0" xfId="0" applyNumberFormat="1" applyFont="1" applyAlignment="1" applyProtection="1">
      <alignment horizontal="fill"/>
      <protection/>
    </xf>
    <xf numFmtId="0" fontId="5" fillId="0" borderId="0" xfId="0" applyNumberFormat="1" applyFont="1" applyAlignment="1" applyProtection="1">
      <alignment horizontal="right"/>
      <protection/>
    </xf>
    <xf numFmtId="0" fontId="6" fillId="0" borderId="0" xfId="0" applyNumberFormat="1" applyFont="1" applyAlignment="1" applyProtection="1">
      <alignment/>
      <protection/>
    </xf>
    <xf numFmtId="0" fontId="5" fillId="0" borderId="0" xfId="0" applyFont="1" applyBorder="1" applyAlignment="1" applyProtection="1">
      <alignment/>
      <protection/>
    </xf>
    <xf numFmtId="0" fontId="5" fillId="0" borderId="19" xfId="0" applyNumberFormat="1" applyFont="1" applyBorder="1" applyAlignment="1" applyProtection="1">
      <alignment horizontal="fill"/>
      <protection/>
    </xf>
    <xf numFmtId="2" fontId="5" fillId="0" borderId="0" xfId="0" applyNumberFormat="1" applyFont="1" applyAlignment="1" applyProtection="1">
      <alignment/>
      <protection/>
    </xf>
    <xf numFmtId="0" fontId="7" fillId="0" borderId="0" xfId="0" applyNumberFormat="1" applyFont="1" applyAlignment="1" applyProtection="1">
      <alignment/>
      <protection/>
    </xf>
    <xf numFmtId="0" fontId="5" fillId="0" borderId="0" xfId="0" applyNumberFormat="1" applyFont="1" applyBorder="1" applyAlignment="1" applyProtection="1">
      <alignment/>
      <protection/>
    </xf>
    <xf numFmtId="167" fontId="5" fillId="0" borderId="0" xfId="0" applyNumberFormat="1" applyFont="1" applyAlignment="1" applyProtection="1">
      <alignment/>
      <protection/>
    </xf>
    <xf numFmtId="2" fontId="5" fillId="0" borderId="0" xfId="0" applyNumberFormat="1" applyFont="1" applyAlignment="1" applyProtection="1">
      <alignment/>
      <protection/>
    </xf>
    <xf numFmtId="168" fontId="5" fillId="0" borderId="0" xfId="0" applyNumberFormat="1" applyFont="1" applyAlignment="1" applyProtection="1">
      <alignment/>
      <protection/>
    </xf>
    <xf numFmtId="167" fontId="5" fillId="0" borderId="0" xfId="0" applyNumberFormat="1" applyFont="1" applyAlignment="1" applyProtection="1">
      <alignment/>
      <protection/>
    </xf>
    <xf numFmtId="0" fontId="5" fillId="0" borderId="0" xfId="0" applyNumberFormat="1" applyFont="1" applyBorder="1" applyAlignment="1" applyProtection="1">
      <alignment horizontal="fill"/>
      <protection/>
    </xf>
    <xf numFmtId="169" fontId="5" fillId="0" borderId="0" xfId="0" applyNumberFormat="1" applyFont="1" applyAlignment="1" applyProtection="1">
      <alignment/>
      <protection/>
    </xf>
    <xf numFmtId="4" fontId="5" fillId="0" borderId="0" xfId="0" applyNumberFormat="1" applyFont="1" applyAlignment="1" applyProtection="1">
      <alignment/>
      <protection/>
    </xf>
    <xf numFmtId="167" fontId="5" fillId="0" borderId="0" xfId="0" applyNumberFormat="1" applyFont="1" applyAlignment="1" applyProtection="1">
      <alignment horizontal="right"/>
      <protection/>
    </xf>
    <xf numFmtId="0" fontId="5" fillId="0" borderId="0" xfId="0" applyNumberFormat="1" applyFont="1" applyAlignment="1" applyProtection="1" quotePrefix="1">
      <alignment/>
      <protection/>
    </xf>
    <xf numFmtId="167" fontId="5" fillId="0" borderId="0" xfId="0" applyNumberFormat="1" applyFont="1" applyAlignment="1" applyProtection="1" quotePrefix="1">
      <alignment/>
      <protection/>
    </xf>
    <xf numFmtId="165" fontId="5" fillId="0" borderId="0" xfId="0" applyNumberFormat="1" applyFont="1" applyAlignment="1" applyProtection="1">
      <alignment/>
      <protection/>
    </xf>
    <xf numFmtId="0" fontId="5" fillId="0" borderId="0" xfId="0" applyNumberFormat="1" applyFont="1" applyAlignment="1" applyProtection="1">
      <alignment/>
      <protection/>
    </xf>
    <xf numFmtId="164" fontId="5" fillId="0" borderId="0" xfId="0" applyNumberFormat="1" applyFont="1" applyAlignment="1" applyProtection="1">
      <alignment/>
      <protection/>
    </xf>
    <xf numFmtId="166" fontId="5" fillId="0" borderId="0" xfId="0" applyNumberFormat="1" applyFont="1" applyAlignment="1" applyProtection="1">
      <alignment/>
      <protection/>
    </xf>
    <xf numFmtId="3" fontId="5" fillId="0" borderId="0" xfId="0" applyNumberFormat="1" applyFont="1" applyAlignment="1" applyProtection="1">
      <alignment/>
      <protection/>
    </xf>
    <xf numFmtId="0" fontId="5" fillId="0" borderId="18" xfId="0" applyNumberFormat="1" applyFont="1" applyBorder="1" applyAlignment="1" applyProtection="1">
      <alignment horizontal="center"/>
      <protection/>
    </xf>
    <xf numFmtId="0" fontId="5" fillId="0" borderId="0" xfId="0" applyFont="1" applyAlignment="1" applyProtection="1">
      <alignment/>
      <protection/>
    </xf>
    <xf numFmtId="0" fontId="5" fillId="0" borderId="0" xfId="0" applyFont="1" applyBorder="1" applyAlignment="1" applyProtection="1">
      <alignment/>
      <protection/>
    </xf>
    <xf numFmtId="164" fontId="5" fillId="0" borderId="0" xfId="0" applyNumberFormat="1" applyFont="1" applyAlignment="1" applyProtection="1">
      <alignment/>
      <protection/>
    </xf>
    <xf numFmtId="0" fontId="5" fillId="0" borderId="0" xfId="0" applyNumberFormat="1" applyFont="1" applyAlignment="1" applyProtection="1" quotePrefix="1">
      <alignment horizontal="fill"/>
      <protection/>
    </xf>
    <xf numFmtId="0" fontId="5" fillId="0" borderId="18" xfId="0" applyNumberFormat="1" applyFont="1" applyBorder="1" applyAlignment="1" applyProtection="1">
      <alignment/>
      <protection/>
    </xf>
    <xf numFmtId="0" fontId="5" fillId="0" borderId="18" xfId="0" applyFont="1" applyBorder="1" applyAlignment="1" applyProtection="1">
      <alignment/>
      <protection/>
    </xf>
    <xf numFmtId="0" fontId="4" fillId="0" borderId="0" xfId="0" applyNumberFormat="1" applyFont="1" applyBorder="1" applyAlignment="1" applyProtection="1">
      <alignment/>
      <protection/>
    </xf>
    <xf numFmtId="0" fontId="19" fillId="0" borderId="0" xfId="0" applyNumberFormat="1" applyFont="1" applyAlignment="1" applyProtection="1">
      <alignment horizontal="fill"/>
      <protection/>
    </xf>
    <xf numFmtId="0" fontId="19" fillId="0" borderId="0" xfId="0" applyNumberFormat="1" applyFont="1" applyAlignment="1" applyProtection="1">
      <alignment/>
      <protection/>
    </xf>
    <xf numFmtId="169" fontId="5" fillId="0" borderId="0" xfId="0" applyNumberFormat="1" applyFont="1" applyAlignment="1" applyProtection="1">
      <alignment/>
      <protection/>
    </xf>
    <xf numFmtId="166" fontId="5" fillId="0" borderId="0" xfId="0" applyNumberFormat="1" applyFont="1" applyAlignment="1" applyProtection="1">
      <alignment/>
      <protection/>
    </xf>
    <xf numFmtId="0" fontId="0" fillId="0" borderId="0" xfId="0" applyBorder="1" applyAlignment="1">
      <alignment wrapText="1"/>
    </xf>
    <xf numFmtId="16" fontId="5" fillId="0" borderId="0" xfId="0" applyNumberFormat="1" applyFont="1" applyAlignment="1" applyProtection="1">
      <alignment horizontal="fill"/>
      <protection/>
    </xf>
    <xf numFmtId="0" fontId="0" fillId="0" borderId="0" xfId="0" applyBorder="1" applyAlignment="1">
      <alignment vertical="center" wrapText="1"/>
    </xf>
    <xf numFmtId="0" fontId="5" fillId="0" borderId="16" xfId="0" applyNumberFormat="1" applyFont="1" applyBorder="1" applyAlignment="1" applyProtection="1">
      <alignment/>
      <protection/>
    </xf>
    <xf numFmtId="14" fontId="23" fillId="0" borderId="0" xfId="0" applyNumberFormat="1" applyFont="1" applyAlignment="1" applyProtection="1">
      <alignment/>
      <protection hidden="1"/>
    </xf>
    <xf numFmtId="0" fontId="5" fillId="0" borderId="0" xfId="0" applyFont="1" applyBorder="1" applyAlignment="1">
      <alignment/>
    </xf>
    <xf numFmtId="0" fontId="4" fillId="0" borderId="0" xfId="0" applyFont="1" applyBorder="1" applyAlignment="1">
      <alignment/>
    </xf>
    <xf numFmtId="0" fontId="11" fillId="0" borderId="0" xfId="0" applyFont="1" applyBorder="1" applyAlignment="1">
      <alignment/>
    </xf>
    <xf numFmtId="186" fontId="5" fillId="0" borderId="0" xfId="0" applyNumberFormat="1" applyFont="1" applyAlignment="1" applyProtection="1">
      <alignment/>
      <protection hidden="1"/>
    </xf>
    <xf numFmtId="0" fontId="4" fillId="0" borderId="0" xfId="0" applyNumberFormat="1" applyFont="1" applyBorder="1" applyAlignment="1" applyProtection="1">
      <alignment/>
      <protection hidden="1"/>
    </xf>
    <xf numFmtId="0" fontId="0" fillId="0" borderId="0" xfId="0" applyBorder="1" applyAlignment="1" applyProtection="1">
      <alignment/>
      <protection hidden="1"/>
    </xf>
    <xf numFmtId="0" fontId="23" fillId="0" borderId="0" xfId="0" applyNumberFormat="1" applyFont="1" applyAlignment="1" applyProtection="1">
      <alignment/>
      <protection/>
    </xf>
    <xf numFmtId="0" fontId="5" fillId="0" borderId="0" xfId="0" applyNumberFormat="1" applyFont="1" applyAlignment="1" applyProtection="1">
      <alignment horizontal="center"/>
      <protection hidden="1"/>
    </xf>
    <xf numFmtId="186" fontId="5" fillId="0" borderId="0" xfId="0" applyNumberFormat="1" applyFont="1" applyAlignment="1" applyProtection="1">
      <alignment horizontal="center"/>
      <protection hidden="1"/>
    </xf>
    <xf numFmtId="0" fontId="5" fillId="0" borderId="0" xfId="0" applyNumberFormat="1" applyFont="1" applyBorder="1" applyAlignment="1" applyProtection="1" quotePrefix="1">
      <alignment/>
      <protection/>
    </xf>
    <xf numFmtId="0" fontId="21" fillId="0" borderId="0" xfId="0" applyFont="1" applyBorder="1" applyAlignment="1">
      <alignment vertical="center"/>
    </xf>
    <xf numFmtId="0" fontId="11" fillId="0" borderId="0" xfId="0" applyFont="1" applyBorder="1" applyAlignment="1" applyProtection="1">
      <alignment/>
      <protection/>
    </xf>
    <xf numFmtId="0" fontId="23" fillId="0" borderId="16" xfId="0" applyNumberFormat="1" applyFont="1" applyBorder="1" applyAlignment="1" applyProtection="1">
      <alignment/>
      <protection/>
    </xf>
    <xf numFmtId="191" fontId="23" fillId="0" borderId="0" xfId="0" applyNumberFormat="1" applyFont="1" applyAlignment="1" applyProtection="1">
      <alignment horizontal="center"/>
      <protection/>
    </xf>
    <xf numFmtId="0" fontId="23" fillId="34" borderId="0" xfId="0" applyNumberFormat="1" applyFont="1" applyFill="1" applyBorder="1" applyAlignment="1" applyProtection="1">
      <alignment/>
      <protection/>
    </xf>
    <xf numFmtId="0" fontId="13" fillId="34" borderId="0" xfId="0" applyNumberFormat="1" applyFont="1" applyFill="1" applyBorder="1" applyAlignment="1" applyProtection="1">
      <alignment/>
      <protection/>
    </xf>
    <xf numFmtId="4" fontId="23" fillId="34" borderId="0" xfId="0" applyNumberFormat="1" applyFont="1" applyFill="1" applyBorder="1" applyAlignment="1" applyProtection="1">
      <alignment/>
      <protection hidden="1"/>
    </xf>
    <xf numFmtId="167" fontId="23" fillId="34" borderId="0" xfId="0" applyNumberFormat="1" applyFont="1" applyFill="1" applyBorder="1" applyAlignment="1" applyProtection="1">
      <alignment horizontal="right"/>
      <protection hidden="1"/>
    </xf>
    <xf numFmtId="0" fontId="5" fillId="33" borderId="0" xfId="0" applyFont="1" applyFill="1" applyBorder="1" applyAlignment="1">
      <alignment/>
    </xf>
    <xf numFmtId="0" fontId="4" fillId="33" borderId="0" xfId="0" applyFont="1" applyFill="1" applyBorder="1" applyAlignment="1">
      <alignment/>
    </xf>
    <xf numFmtId="0" fontId="5" fillId="33" borderId="13" xfId="0" applyFont="1" applyFill="1" applyBorder="1" applyAlignment="1">
      <alignment/>
    </xf>
    <xf numFmtId="0" fontId="5" fillId="33" borderId="16" xfId="0" applyFont="1"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31" fillId="0" borderId="0" xfId="0" applyNumberFormat="1" applyFont="1" applyBorder="1" applyAlignment="1" applyProtection="1">
      <alignment/>
      <protection/>
    </xf>
    <xf numFmtId="0" fontId="23" fillId="33" borderId="13" xfId="0" applyFont="1" applyFill="1" applyBorder="1" applyAlignment="1">
      <alignment/>
    </xf>
    <xf numFmtId="192" fontId="5" fillId="0" borderId="0" xfId="0" applyNumberFormat="1" applyFont="1" applyAlignment="1" applyProtection="1">
      <alignment horizontal="left"/>
      <protection hidden="1"/>
    </xf>
    <xf numFmtId="0" fontId="0" fillId="0" borderId="18" xfId="0" applyBorder="1" applyAlignment="1">
      <alignment/>
    </xf>
    <xf numFmtId="0" fontId="5" fillId="0" borderId="20" xfId="0" applyNumberFormat="1" applyFont="1" applyBorder="1" applyAlignment="1" applyProtection="1">
      <alignment/>
      <protection/>
    </xf>
    <xf numFmtId="0" fontId="5" fillId="0" borderId="21" xfId="0" applyNumberFormat="1" applyFont="1" applyBorder="1" applyAlignment="1" applyProtection="1">
      <alignment/>
      <protection/>
    </xf>
    <xf numFmtId="0" fontId="5" fillId="0" borderId="22" xfId="0" applyNumberFormat="1" applyFont="1" applyBorder="1" applyAlignment="1" applyProtection="1">
      <alignment/>
      <protection/>
    </xf>
    <xf numFmtId="0" fontId="6" fillId="35" borderId="23" xfId="0" applyNumberFormat="1" applyFont="1" applyFill="1" applyBorder="1" applyAlignment="1" applyProtection="1">
      <alignment/>
      <protection/>
    </xf>
    <xf numFmtId="0" fontId="6" fillId="35" borderId="24" xfId="0" applyNumberFormat="1" applyFont="1" applyFill="1" applyBorder="1" applyAlignment="1" applyProtection="1">
      <alignment/>
      <protection/>
    </xf>
    <xf numFmtId="0" fontId="6" fillId="35" borderId="25" xfId="0" applyNumberFormat="1" applyFont="1" applyFill="1" applyBorder="1" applyAlignment="1" applyProtection="1">
      <alignment/>
      <protection/>
    </xf>
    <xf numFmtId="0" fontId="6" fillId="35" borderId="26" xfId="0" applyNumberFormat="1" applyFont="1" applyFill="1" applyBorder="1" applyAlignment="1" applyProtection="1">
      <alignment/>
      <protection/>
    </xf>
    <xf numFmtId="0" fontId="5" fillId="0" borderId="21" xfId="0" applyNumberFormat="1" applyFont="1" applyBorder="1" applyAlignment="1" applyProtection="1">
      <alignment horizontal="center"/>
      <protection/>
    </xf>
    <xf numFmtId="0" fontId="5" fillId="0" borderId="22" xfId="0" applyNumberFormat="1" applyFont="1" applyBorder="1" applyAlignment="1" applyProtection="1">
      <alignment horizontal="center"/>
      <protection/>
    </xf>
    <xf numFmtId="0" fontId="5" fillId="0" borderId="27" xfId="0" applyNumberFormat="1" applyFont="1" applyBorder="1" applyAlignment="1" applyProtection="1">
      <alignment/>
      <protection/>
    </xf>
    <xf numFmtId="0" fontId="5" fillId="0" borderId="28" xfId="0" applyNumberFormat="1" applyFont="1" applyBorder="1" applyAlignment="1" applyProtection="1">
      <alignment vertical="center"/>
      <protection/>
    </xf>
    <xf numFmtId="0" fontId="5" fillId="0" borderId="29" xfId="0" applyNumberFormat="1" applyFont="1" applyBorder="1" applyAlignment="1" applyProtection="1">
      <alignment vertical="center"/>
      <protection/>
    </xf>
    <xf numFmtId="164" fontId="6" fillId="0" borderId="30" xfId="0" applyNumberFormat="1" applyFont="1" applyBorder="1" applyAlignment="1" applyProtection="1">
      <alignment horizontal="center"/>
      <protection locked="0"/>
    </xf>
    <xf numFmtId="164" fontId="6" fillId="0" borderId="31" xfId="0" applyNumberFormat="1" applyFont="1" applyBorder="1" applyAlignment="1" applyProtection="1">
      <alignment horizontal="center"/>
      <protection locked="0"/>
    </xf>
    <xf numFmtId="2" fontId="5" fillId="0" borderId="32" xfId="0" applyNumberFormat="1" applyFont="1" applyBorder="1" applyAlignment="1" applyProtection="1">
      <alignment horizontal="center"/>
      <protection hidden="1"/>
    </xf>
    <xf numFmtId="2" fontId="6" fillId="0" borderId="33" xfId="0" applyNumberFormat="1" applyFont="1" applyBorder="1" applyAlignment="1" applyProtection="1">
      <alignment horizontal="center"/>
      <protection locked="0"/>
    </xf>
    <xf numFmtId="2" fontId="6" fillId="0" borderId="34" xfId="0" applyNumberFormat="1" applyFont="1" applyBorder="1" applyAlignment="1" applyProtection="1">
      <alignment horizontal="center"/>
      <protection locked="0"/>
    </xf>
    <xf numFmtId="169" fontId="5" fillId="0" borderId="32" xfId="0" applyNumberFormat="1" applyFont="1" applyBorder="1" applyAlignment="1" applyProtection="1">
      <alignment horizontal="center"/>
      <protection hidden="1"/>
    </xf>
    <xf numFmtId="169" fontId="6" fillId="0" borderId="33" xfId="0" applyNumberFormat="1" applyFont="1" applyBorder="1" applyAlignment="1" applyProtection="1">
      <alignment horizontal="center"/>
      <protection locked="0"/>
    </xf>
    <xf numFmtId="169" fontId="6" fillId="0" borderId="34" xfId="0" applyNumberFormat="1" applyFont="1" applyBorder="1" applyAlignment="1" applyProtection="1">
      <alignment horizontal="center"/>
      <protection locked="0"/>
    </xf>
    <xf numFmtId="166" fontId="5" fillId="0" borderId="32" xfId="0" applyNumberFormat="1" applyFont="1" applyBorder="1" applyAlignment="1" applyProtection="1">
      <alignment horizontal="center"/>
      <protection hidden="1"/>
    </xf>
    <xf numFmtId="166" fontId="6" fillId="0" borderId="33" xfId="0" applyNumberFormat="1" applyFont="1" applyBorder="1" applyAlignment="1" applyProtection="1">
      <alignment horizontal="center"/>
      <protection locked="0"/>
    </xf>
    <xf numFmtId="166" fontId="6" fillId="0" borderId="34" xfId="0" applyNumberFormat="1" applyFont="1" applyBorder="1" applyAlignment="1" applyProtection="1">
      <alignment horizontal="center"/>
      <protection locked="0"/>
    </xf>
    <xf numFmtId="0" fontId="5" fillId="0" borderId="35" xfId="0" applyNumberFormat="1" applyFont="1" applyBorder="1" applyAlignment="1" applyProtection="1">
      <alignment/>
      <protection/>
    </xf>
    <xf numFmtId="0" fontId="5" fillId="0" borderId="36" xfId="0" applyNumberFormat="1" applyFont="1" applyBorder="1" applyAlignment="1" applyProtection="1">
      <alignment/>
      <protection/>
    </xf>
    <xf numFmtId="0" fontId="5" fillId="0" borderId="37" xfId="0" applyNumberFormat="1" applyFont="1" applyBorder="1" applyAlignment="1" applyProtection="1">
      <alignment/>
      <protection/>
    </xf>
    <xf numFmtId="2" fontId="5" fillId="0" borderId="33" xfId="0" applyNumberFormat="1" applyFont="1" applyBorder="1" applyAlignment="1" applyProtection="1">
      <alignment horizontal="center"/>
      <protection hidden="1"/>
    </xf>
    <xf numFmtId="2" fontId="5" fillId="0" borderId="34" xfId="0" applyNumberFormat="1" applyFont="1" applyBorder="1" applyAlignment="1" applyProtection="1">
      <alignment horizontal="center"/>
      <protection hidden="1"/>
    </xf>
    <xf numFmtId="166" fontId="5" fillId="0" borderId="33" xfId="0" applyNumberFormat="1" applyFont="1" applyBorder="1" applyAlignment="1" applyProtection="1">
      <alignment horizontal="center"/>
      <protection hidden="1"/>
    </xf>
    <xf numFmtId="166" fontId="5" fillId="0" borderId="34" xfId="0" applyNumberFormat="1" applyFont="1" applyBorder="1" applyAlignment="1" applyProtection="1">
      <alignment horizontal="center"/>
      <protection hidden="1"/>
    </xf>
    <xf numFmtId="3" fontId="5" fillId="0" borderId="38" xfId="0" applyNumberFormat="1" applyFont="1" applyBorder="1" applyAlignment="1" applyProtection="1">
      <alignment horizontal="center"/>
      <protection hidden="1"/>
    </xf>
    <xf numFmtId="3" fontId="5" fillId="0" borderId="39" xfId="0" applyNumberFormat="1" applyFont="1" applyBorder="1" applyAlignment="1" applyProtection="1">
      <alignment horizontal="center"/>
      <protection hidden="1"/>
    </xf>
    <xf numFmtId="3" fontId="5" fillId="0" borderId="40" xfId="0" applyNumberFormat="1" applyFont="1" applyBorder="1" applyAlignment="1" applyProtection="1">
      <alignment horizontal="center"/>
      <protection hidden="1"/>
    </xf>
    <xf numFmtId="0" fontId="5" fillId="0" borderId="41" xfId="0" applyNumberFormat="1" applyFont="1" applyBorder="1" applyAlignment="1" applyProtection="1">
      <alignment/>
      <protection/>
    </xf>
    <xf numFmtId="0" fontId="5" fillId="0" borderId="42" xfId="0" applyNumberFormat="1" applyFont="1" applyBorder="1" applyAlignment="1" applyProtection="1">
      <alignment/>
      <protection/>
    </xf>
    <xf numFmtId="0" fontId="5" fillId="0" borderId="43" xfId="0" applyNumberFormat="1" applyFont="1" applyBorder="1" applyAlignment="1" applyProtection="1">
      <alignment/>
      <protection/>
    </xf>
    <xf numFmtId="0" fontId="5" fillId="0" borderId="29" xfId="0" applyNumberFormat="1" applyFont="1" applyBorder="1" applyAlignment="1" applyProtection="1">
      <alignment/>
      <protection/>
    </xf>
    <xf numFmtId="0" fontId="6" fillId="0" borderId="21" xfId="0" applyNumberFormat="1" applyFont="1" applyBorder="1" applyAlignment="1" applyProtection="1">
      <alignment/>
      <protection/>
    </xf>
    <xf numFmtId="0" fontId="5" fillId="0" borderId="44" xfId="0" applyNumberFormat="1" applyFont="1" applyBorder="1" applyAlignment="1" applyProtection="1">
      <alignment/>
      <protection/>
    </xf>
    <xf numFmtId="0" fontId="5" fillId="0" borderId="45" xfId="0" applyNumberFormat="1" applyFont="1" applyBorder="1" applyAlignment="1" applyProtection="1">
      <alignment/>
      <protection/>
    </xf>
    <xf numFmtId="0" fontId="5" fillId="0" borderId="46" xfId="0" applyNumberFormat="1" applyFont="1" applyBorder="1" applyAlignment="1" applyProtection="1">
      <alignment/>
      <protection/>
    </xf>
    <xf numFmtId="0" fontId="5" fillId="0" borderId="47" xfId="0" applyNumberFormat="1" applyFont="1" applyBorder="1" applyAlignment="1" applyProtection="1">
      <alignment horizontal="center"/>
      <protection hidden="1"/>
    </xf>
    <xf numFmtId="167" fontId="5" fillId="0" borderId="47" xfId="0" applyNumberFormat="1" applyFont="1" applyBorder="1" applyAlignment="1" applyProtection="1">
      <alignment horizontal="center"/>
      <protection hidden="1"/>
    </xf>
    <xf numFmtId="168" fontId="5" fillId="0" borderId="47" xfId="0" applyNumberFormat="1" applyFont="1" applyBorder="1" applyAlignment="1" applyProtection="1">
      <alignment horizontal="center"/>
      <protection hidden="1"/>
    </xf>
    <xf numFmtId="167" fontId="5" fillId="0" borderId="48" xfId="0" applyNumberFormat="1" applyFont="1" applyBorder="1" applyAlignment="1" applyProtection="1">
      <alignment horizontal="center"/>
      <protection hidden="1"/>
    </xf>
    <xf numFmtId="0" fontId="5" fillId="0" borderId="49" xfId="0" applyNumberFormat="1" applyFont="1" applyBorder="1" applyAlignment="1" applyProtection="1">
      <alignment horizontal="center"/>
      <protection hidden="1"/>
    </xf>
    <xf numFmtId="169" fontId="6" fillId="0" borderId="32" xfId="0" applyNumberFormat="1" applyFont="1" applyBorder="1" applyAlignment="1" applyProtection="1">
      <alignment/>
      <protection locked="0"/>
    </xf>
    <xf numFmtId="164" fontId="5" fillId="0" borderId="34" xfId="0" applyNumberFormat="1" applyFont="1" applyBorder="1" applyAlignment="1" applyProtection="1">
      <alignment/>
      <protection hidden="1"/>
    </xf>
    <xf numFmtId="169" fontId="6" fillId="0" borderId="38" xfId="0" applyNumberFormat="1" applyFont="1" applyBorder="1" applyAlignment="1" applyProtection="1">
      <alignment/>
      <protection locked="0"/>
    </xf>
    <xf numFmtId="164" fontId="5" fillId="0" borderId="40" xfId="0" applyNumberFormat="1" applyFont="1" applyBorder="1" applyAlignment="1" applyProtection="1">
      <alignment/>
      <protection hidden="1"/>
    </xf>
    <xf numFmtId="0" fontId="6" fillId="0" borderId="47" xfId="0" applyNumberFormat="1" applyFont="1" applyBorder="1" applyAlignment="1" applyProtection="1">
      <alignment horizontal="center"/>
      <protection locked="0"/>
    </xf>
    <xf numFmtId="0" fontId="6" fillId="0" borderId="48" xfId="0" applyNumberFormat="1" applyFont="1" applyBorder="1" applyAlignment="1" applyProtection="1">
      <alignment horizontal="center"/>
      <protection locked="0"/>
    </xf>
    <xf numFmtId="164" fontId="6" fillId="0" borderId="47" xfId="0" applyNumberFormat="1" applyFont="1" applyBorder="1" applyAlignment="1" applyProtection="1">
      <alignment/>
      <protection locked="0"/>
    </xf>
    <xf numFmtId="164" fontId="6" fillId="0" borderId="48" xfId="0" applyNumberFormat="1" applyFont="1" applyBorder="1" applyAlignment="1" applyProtection="1">
      <alignment/>
      <protection locked="0"/>
    </xf>
    <xf numFmtId="169" fontId="6" fillId="0" borderId="47" xfId="0" applyNumberFormat="1" applyFont="1" applyBorder="1" applyAlignment="1" applyProtection="1">
      <alignment/>
      <protection locked="0"/>
    </xf>
    <xf numFmtId="169" fontId="6" fillId="0" borderId="48" xfId="0" applyNumberFormat="1" applyFont="1" applyBorder="1" applyAlignment="1" applyProtection="1">
      <alignment/>
      <protection locked="0"/>
    </xf>
    <xf numFmtId="164" fontId="5" fillId="0" borderId="47" xfId="0" applyNumberFormat="1" applyFont="1" applyBorder="1" applyAlignment="1" applyProtection="1">
      <alignment/>
      <protection hidden="1"/>
    </xf>
    <xf numFmtId="164" fontId="5" fillId="0" borderId="48" xfId="0" applyNumberFormat="1" applyFont="1" applyBorder="1" applyAlignment="1" applyProtection="1">
      <alignment/>
      <protection hidden="1"/>
    </xf>
    <xf numFmtId="167" fontId="5" fillId="0" borderId="47" xfId="0" applyNumberFormat="1" applyFont="1" applyBorder="1" applyAlignment="1" applyProtection="1">
      <alignment/>
      <protection hidden="1"/>
    </xf>
    <xf numFmtId="167" fontId="5" fillId="0" borderId="48" xfId="0" applyNumberFormat="1" applyFont="1" applyBorder="1" applyAlignment="1" applyProtection="1">
      <alignment/>
      <protection hidden="1"/>
    </xf>
    <xf numFmtId="0" fontId="5" fillId="0" borderId="20" xfId="0" applyNumberFormat="1" applyFont="1" applyBorder="1" applyAlignment="1" applyProtection="1">
      <alignment horizontal="center"/>
      <protection/>
    </xf>
    <xf numFmtId="0" fontId="6" fillId="0" borderId="45" xfId="0" applyNumberFormat="1" applyFont="1" applyBorder="1" applyAlignment="1" applyProtection="1">
      <alignment/>
      <protection locked="0"/>
    </xf>
    <xf numFmtId="0" fontId="6" fillId="0" borderId="37" xfId="0" applyNumberFormat="1" applyFont="1" applyBorder="1" applyAlignment="1" applyProtection="1">
      <alignment/>
      <protection locked="0"/>
    </xf>
    <xf numFmtId="0" fontId="6" fillId="0" borderId="46" xfId="0" applyNumberFormat="1" applyFont="1" applyBorder="1" applyAlignment="1" applyProtection="1">
      <alignment/>
      <protection locked="0"/>
    </xf>
    <xf numFmtId="0" fontId="7" fillId="0" borderId="0" xfId="0" applyNumberFormat="1" applyFont="1" applyBorder="1" applyAlignment="1" applyProtection="1">
      <alignment/>
      <protection/>
    </xf>
    <xf numFmtId="10" fontId="6" fillId="0" borderId="18" xfId="0" applyNumberFormat="1" applyFont="1" applyBorder="1" applyAlignment="1" applyProtection="1">
      <alignment/>
      <protection locked="0"/>
    </xf>
    <xf numFmtId="0" fontId="5" fillId="0" borderId="35" xfId="0" applyNumberFormat="1" applyFont="1" applyBorder="1" applyAlignment="1" applyProtection="1">
      <alignment horizontal="fill"/>
      <protection/>
    </xf>
    <xf numFmtId="0" fontId="5" fillId="0" borderId="41" xfId="0" applyNumberFormat="1" applyFont="1" applyFill="1" applyBorder="1" applyAlignment="1" applyProtection="1">
      <alignment/>
      <protection/>
    </xf>
    <xf numFmtId="0" fontId="5" fillId="0" borderId="42" xfId="0" applyNumberFormat="1" applyFont="1" applyFill="1" applyBorder="1" applyAlignment="1" applyProtection="1">
      <alignment/>
      <protection/>
    </xf>
    <xf numFmtId="168" fontId="5" fillId="0" borderId="50" xfId="0" applyNumberFormat="1" applyFont="1" applyBorder="1" applyAlignment="1" applyProtection="1">
      <alignment horizontal="center"/>
      <protection hidden="1"/>
    </xf>
    <xf numFmtId="167" fontId="5" fillId="0" borderId="50" xfId="0" applyNumberFormat="1" applyFont="1" applyBorder="1" applyAlignment="1" applyProtection="1">
      <alignment horizontal="center"/>
      <protection hidden="1"/>
    </xf>
    <xf numFmtId="164" fontId="5" fillId="0" borderId="50" xfId="0" applyNumberFormat="1" applyFont="1" applyBorder="1" applyAlignment="1" applyProtection="1">
      <alignment horizontal="center"/>
      <protection hidden="1"/>
    </xf>
    <xf numFmtId="168" fontId="5" fillId="0" borderId="51" xfId="0" applyNumberFormat="1" applyFont="1" applyBorder="1" applyAlignment="1" applyProtection="1" quotePrefix="1">
      <alignment horizontal="center"/>
      <protection hidden="1"/>
    </xf>
    <xf numFmtId="167" fontId="5" fillId="0" borderId="51" xfId="0" applyNumberFormat="1" applyFont="1" applyBorder="1" applyAlignment="1" applyProtection="1" quotePrefix="1">
      <alignment horizontal="center"/>
      <protection hidden="1"/>
    </xf>
    <xf numFmtId="164" fontId="5" fillId="0" borderId="51" xfId="0" applyNumberFormat="1" applyFont="1" applyBorder="1" applyAlignment="1" applyProtection="1" quotePrefix="1">
      <alignment horizontal="center"/>
      <protection hidden="1"/>
    </xf>
    <xf numFmtId="181" fontId="5" fillId="0" borderId="52" xfId="0" applyNumberFormat="1" applyFont="1" applyBorder="1" applyAlignment="1" applyProtection="1" quotePrefix="1">
      <alignment horizontal="center"/>
      <protection hidden="1"/>
    </xf>
    <xf numFmtId="2" fontId="5" fillId="0" borderId="52" xfId="0" applyNumberFormat="1" applyFont="1" applyBorder="1" applyAlignment="1" applyProtection="1" quotePrefix="1">
      <alignment horizontal="center"/>
      <protection hidden="1"/>
    </xf>
    <xf numFmtId="3" fontId="5" fillId="0" borderId="52" xfId="0" applyNumberFormat="1" applyFont="1" applyBorder="1" applyAlignment="1" applyProtection="1" quotePrefix="1">
      <alignment horizontal="center"/>
      <protection hidden="1"/>
    </xf>
    <xf numFmtId="181" fontId="5" fillId="0" borderId="47" xfId="0" applyNumberFormat="1" applyFont="1" applyBorder="1" applyAlignment="1" applyProtection="1" quotePrefix="1">
      <alignment horizontal="center"/>
      <protection hidden="1"/>
    </xf>
    <xf numFmtId="2" fontId="5" fillId="0" borderId="47" xfId="0" applyNumberFormat="1" applyFont="1" applyBorder="1" applyAlignment="1" applyProtection="1">
      <alignment horizontal="center"/>
      <protection hidden="1"/>
    </xf>
    <xf numFmtId="3" fontId="5" fillId="0" borderId="47" xfId="0" applyNumberFormat="1" applyFont="1" applyBorder="1" applyAlignment="1" applyProtection="1" quotePrefix="1">
      <alignment horizontal="center"/>
      <protection hidden="1"/>
    </xf>
    <xf numFmtId="168" fontId="5" fillId="0" borderId="48" xfId="0" applyNumberFormat="1" applyFont="1" applyBorder="1" applyAlignment="1" applyProtection="1" quotePrefix="1">
      <alignment horizontal="center"/>
      <protection hidden="1"/>
    </xf>
    <xf numFmtId="167" fontId="5" fillId="0" borderId="48" xfId="0" applyNumberFormat="1" applyFont="1" applyBorder="1" applyAlignment="1" applyProtection="1" quotePrefix="1">
      <alignment horizontal="center"/>
      <protection hidden="1"/>
    </xf>
    <xf numFmtId="164" fontId="5" fillId="0" borderId="48" xfId="0" applyNumberFormat="1" applyFont="1" applyBorder="1" applyAlignment="1" applyProtection="1" quotePrefix="1">
      <alignment horizontal="center"/>
      <protection hidden="1"/>
    </xf>
    <xf numFmtId="0" fontId="6" fillId="0" borderId="47" xfId="0" applyNumberFormat="1" applyFont="1" applyFill="1" applyBorder="1" applyAlignment="1" applyProtection="1">
      <alignment/>
      <protection locked="0"/>
    </xf>
    <xf numFmtId="0" fontId="6" fillId="0" borderId="53" xfId="0" applyNumberFormat="1" applyFont="1" applyFill="1" applyBorder="1" applyAlignment="1" applyProtection="1">
      <alignment horizontal="left"/>
      <protection locked="0"/>
    </xf>
    <xf numFmtId="0" fontId="6" fillId="0" borderId="50" xfId="0" applyNumberFormat="1" applyFont="1" applyFill="1" applyBorder="1" applyAlignment="1" applyProtection="1">
      <alignment horizontal="right"/>
      <protection locked="0"/>
    </xf>
    <xf numFmtId="164" fontId="6" fillId="0" borderId="52" xfId="0" applyNumberFormat="1" applyFont="1" applyBorder="1" applyAlignment="1" applyProtection="1">
      <alignment/>
      <protection locked="0"/>
    </xf>
    <xf numFmtId="167" fontId="6" fillId="0" borderId="47" xfId="0" applyNumberFormat="1" applyFont="1" applyFill="1" applyBorder="1" applyAlignment="1" applyProtection="1">
      <alignment/>
      <protection locked="0"/>
    </xf>
    <xf numFmtId="168" fontId="6" fillId="0" borderId="47" xfId="0" applyNumberFormat="1" applyFont="1" applyFill="1" applyBorder="1" applyAlignment="1" applyProtection="1">
      <alignment/>
      <protection locked="0"/>
    </xf>
    <xf numFmtId="167" fontId="6" fillId="0" borderId="48" xfId="0" applyNumberFormat="1" applyFont="1" applyFill="1" applyBorder="1" applyAlignment="1" applyProtection="1">
      <alignment/>
      <protection locked="0"/>
    </xf>
    <xf numFmtId="0" fontId="6" fillId="0" borderId="49" xfId="0" applyNumberFormat="1" applyFont="1" applyFill="1" applyBorder="1" applyAlignment="1" applyProtection="1">
      <alignment/>
      <protection locked="0"/>
    </xf>
    <xf numFmtId="0" fontId="5" fillId="0" borderId="54" xfId="0" applyNumberFormat="1" applyFont="1" applyBorder="1" applyAlignment="1" applyProtection="1">
      <alignment/>
      <protection/>
    </xf>
    <xf numFmtId="0" fontId="4" fillId="0" borderId="42" xfId="0" applyNumberFormat="1" applyFont="1" applyBorder="1" applyAlignment="1" applyProtection="1">
      <alignment/>
      <protection/>
    </xf>
    <xf numFmtId="0" fontId="5" fillId="0" borderId="41" xfId="0" applyNumberFormat="1" applyFont="1" applyBorder="1" applyAlignment="1" applyProtection="1">
      <alignment horizontal="fill"/>
      <protection/>
    </xf>
    <xf numFmtId="0" fontId="5" fillId="0" borderId="0" xfId="0" applyNumberFormat="1" applyFont="1" applyBorder="1" applyAlignment="1" applyProtection="1">
      <alignment horizontal="fill"/>
      <protection hidden="1"/>
    </xf>
    <xf numFmtId="0" fontId="5" fillId="0" borderId="43" xfId="0" applyNumberFormat="1" applyFont="1" applyBorder="1" applyAlignment="1" applyProtection="1">
      <alignment horizontal="fill"/>
      <protection hidden="1"/>
    </xf>
    <xf numFmtId="0" fontId="4" fillId="0" borderId="41" xfId="0" applyNumberFormat="1" applyFont="1" applyBorder="1" applyAlignment="1" applyProtection="1">
      <alignment/>
      <protection/>
    </xf>
    <xf numFmtId="169" fontId="5" fillId="0" borderId="0" xfId="0" applyNumberFormat="1" applyFont="1" applyBorder="1" applyAlignment="1" applyProtection="1">
      <alignment/>
      <protection hidden="1"/>
    </xf>
    <xf numFmtId="169" fontId="5" fillId="0" borderId="43" xfId="0" applyNumberFormat="1" applyFont="1" applyBorder="1" applyAlignment="1" applyProtection="1">
      <alignment/>
      <protection hidden="1"/>
    </xf>
    <xf numFmtId="169" fontId="5" fillId="0" borderId="18" xfId="0" applyNumberFormat="1" applyFont="1" applyBorder="1" applyAlignment="1" applyProtection="1">
      <alignment/>
      <protection/>
    </xf>
    <xf numFmtId="169" fontId="5" fillId="0" borderId="29" xfId="0" applyNumberFormat="1" applyFont="1" applyBorder="1" applyAlignment="1" applyProtection="1">
      <alignment/>
      <protection/>
    </xf>
    <xf numFmtId="0" fontId="5" fillId="0" borderId="55" xfId="0" applyNumberFormat="1" applyFont="1" applyBorder="1" applyAlignment="1" applyProtection="1">
      <alignment/>
      <protection/>
    </xf>
    <xf numFmtId="0" fontId="5" fillId="0" borderId="56" xfId="0" applyNumberFormat="1" applyFont="1" applyBorder="1" applyAlignment="1" applyProtection="1">
      <alignment/>
      <protection/>
    </xf>
    <xf numFmtId="0" fontId="5" fillId="0" borderId="57" xfId="0" applyNumberFormat="1" applyFont="1" applyBorder="1" applyAlignment="1" applyProtection="1">
      <alignment/>
      <protection/>
    </xf>
    <xf numFmtId="0" fontId="4" fillId="0" borderId="58" xfId="0" applyNumberFormat="1" applyFont="1" applyBorder="1" applyAlignment="1" applyProtection="1">
      <alignment/>
      <protection/>
    </xf>
    <xf numFmtId="0" fontId="4" fillId="0" borderId="56" xfId="0" applyNumberFormat="1" applyFont="1" applyBorder="1" applyAlignment="1" applyProtection="1">
      <alignment/>
      <protection/>
    </xf>
    <xf numFmtId="0" fontId="4" fillId="0" borderId="57" xfId="0" applyNumberFormat="1" applyFont="1" applyBorder="1" applyAlignment="1" applyProtection="1">
      <alignment/>
      <protection/>
    </xf>
    <xf numFmtId="0" fontId="5" fillId="0" borderId="0" xfId="0" applyNumberFormat="1" applyFont="1" applyFill="1" applyAlignment="1" applyProtection="1">
      <alignment/>
      <protection/>
    </xf>
    <xf numFmtId="0" fontId="0"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protection/>
    </xf>
    <xf numFmtId="164" fontId="5" fillId="0" borderId="59" xfId="0" applyNumberFormat="1" applyFont="1" applyBorder="1" applyAlignment="1" applyProtection="1">
      <alignment horizontal="center"/>
      <protection hidden="1"/>
    </xf>
    <xf numFmtId="0" fontId="14" fillId="0" borderId="60" xfId="0" applyNumberFormat="1" applyFont="1" applyFill="1" applyBorder="1" applyAlignment="1" applyProtection="1">
      <alignment horizontal="center" vertical="center"/>
      <protection/>
    </xf>
    <xf numFmtId="0" fontId="14" fillId="0" borderId="20" xfId="0" applyNumberFormat="1" applyFont="1" applyFill="1" applyBorder="1" applyAlignment="1" applyProtection="1">
      <alignment horizontal="center" vertical="center"/>
      <protection/>
    </xf>
    <xf numFmtId="0" fontId="14" fillId="0" borderId="61" xfId="0" applyFont="1" applyFill="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2" fontId="5" fillId="0" borderId="59" xfId="0" applyNumberFormat="1" applyFont="1" applyBorder="1" applyAlignment="1" applyProtection="1">
      <alignment horizontal="center"/>
      <protection hidden="1"/>
    </xf>
    <xf numFmtId="2" fontId="5" fillId="0" borderId="30" xfId="0" applyNumberFormat="1" applyFont="1" applyBorder="1" applyAlignment="1" applyProtection="1">
      <alignment horizontal="center"/>
      <protection hidden="1"/>
    </xf>
    <xf numFmtId="2" fontId="5" fillId="0" borderId="31" xfId="0" applyNumberFormat="1" applyFont="1" applyBorder="1" applyAlignment="1" applyProtection="1">
      <alignment horizontal="center"/>
      <protection hidden="1"/>
    </xf>
    <xf numFmtId="167" fontId="5" fillId="0" borderId="63" xfId="0" applyNumberFormat="1" applyFont="1" applyBorder="1" applyAlignment="1" applyProtection="1">
      <alignment horizontal="center"/>
      <protection hidden="1"/>
    </xf>
    <xf numFmtId="167" fontId="5" fillId="0" borderId="64" xfId="0" applyNumberFormat="1" applyFont="1" applyBorder="1" applyAlignment="1" applyProtection="1">
      <alignment horizontal="center"/>
      <protection hidden="1"/>
    </xf>
    <xf numFmtId="167" fontId="5" fillId="0" borderId="65" xfId="0" applyNumberFormat="1" applyFont="1" applyBorder="1" applyAlignment="1" applyProtection="1">
      <alignment horizontal="center"/>
      <protection hidden="1"/>
    </xf>
    <xf numFmtId="0" fontId="5" fillId="0" borderId="54" xfId="0" applyNumberFormat="1" applyFont="1" applyBorder="1" applyAlignment="1" applyProtection="1">
      <alignment horizontal="center"/>
      <protection hidden="1"/>
    </xf>
    <xf numFmtId="0" fontId="5" fillId="0" borderId="44" xfId="0" applyNumberFormat="1" applyFont="1" applyBorder="1" applyAlignment="1" applyProtection="1">
      <alignment horizontal="center"/>
      <protection hidden="1"/>
    </xf>
    <xf numFmtId="0" fontId="5" fillId="0" borderId="66" xfId="0" applyNumberFormat="1" applyFont="1" applyBorder="1" applyAlignment="1" applyProtection="1">
      <alignment horizontal="center"/>
      <protection hidden="1"/>
    </xf>
    <xf numFmtId="167" fontId="5" fillId="0" borderId="67" xfId="0" applyNumberFormat="1" applyFont="1" applyBorder="1" applyAlignment="1" applyProtection="1">
      <alignment horizontal="center"/>
      <protection hidden="1"/>
    </xf>
    <xf numFmtId="167" fontId="5" fillId="0" borderId="23" xfId="0" applyNumberFormat="1" applyFont="1" applyBorder="1" applyAlignment="1" applyProtection="1">
      <alignment horizontal="center"/>
      <protection hidden="1"/>
    </xf>
    <xf numFmtId="167" fontId="5" fillId="0" borderId="25" xfId="0" applyNumberFormat="1" applyFont="1" applyBorder="1" applyAlignment="1" applyProtection="1">
      <alignment horizontal="center"/>
      <protection hidden="1"/>
    </xf>
    <xf numFmtId="168" fontId="5" fillId="0" borderId="59" xfId="0" applyNumberFormat="1" applyFont="1" applyBorder="1" applyAlignment="1" applyProtection="1">
      <alignment horizontal="center"/>
      <protection hidden="1"/>
    </xf>
    <xf numFmtId="168" fontId="5" fillId="0" borderId="30" xfId="0" applyNumberFormat="1" applyFont="1" applyBorder="1" applyAlignment="1" applyProtection="1">
      <alignment horizontal="center"/>
      <protection hidden="1"/>
    </xf>
    <xf numFmtId="168" fontId="5" fillId="0" borderId="31" xfId="0" applyNumberFormat="1" applyFont="1" applyBorder="1" applyAlignment="1" applyProtection="1">
      <alignment horizontal="center"/>
      <protection hidden="1"/>
    </xf>
    <xf numFmtId="164" fontId="5" fillId="0" borderId="67" xfId="0" applyNumberFormat="1" applyFont="1" applyBorder="1" applyAlignment="1" applyProtection="1">
      <alignment horizontal="center"/>
      <protection hidden="1"/>
    </xf>
    <xf numFmtId="164" fontId="5" fillId="0" borderId="23" xfId="0" applyNumberFormat="1" applyFont="1" applyBorder="1" applyAlignment="1" applyProtection="1">
      <alignment horizontal="center"/>
      <protection hidden="1"/>
    </xf>
    <xf numFmtId="164" fontId="5" fillId="0" borderId="25" xfId="0" applyNumberFormat="1" applyFont="1" applyBorder="1" applyAlignment="1" applyProtection="1">
      <alignment horizontal="center"/>
      <protection hidden="1"/>
    </xf>
    <xf numFmtId="0" fontId="5" fillId="0" borderId="68" xfId="0" applyNumberFormat="1" applyFont="1" applyBorder="1" applyAlignment="1" applyProtection="1">
      <alignment horizontal="center"/>
      <protection hidden="1"/>
    </xf>
    <xf numFmtId="0" fontId="5" fillId="0" borderId="69" xfId="0" applyNumberFormat="1" applyFont="1" applyBorder="1" applyAlignment="1" applyProtection="1">
      <alignment horizontal="center"/>
      <protection hidden="1"/>
    </xf>
    <xf numFmtId="0" fontId="5" fillId="0" borderId="70" xfId="0" applyNumberFormat="1" applyFont="1" applyBorder="1" applyAlignment="1" applyProtection="1">
      <alignment horizontal="center"/>
      <protection hidden="1"/>
    </xf>
    <xf numFmtId="169" fontId="5" fillId="0" borderId="63" xfId="0" applyNumberFormat="1" applyFont="1" applyBorder="1" applyAlignment="1" applyProtection="1">
      <alignment horizontal="center"/>
      <protection hidden="1"/>
    </xf>
    <xf numFmtId="169" fontId="5" fillId="0" borderId="64" xfId="0" applyNumberFormat="1" applyFont="1" applyBorder="1" applyAlignment="1" applyProtection="1">
      <alignment horizontal="center"/>
      <protection hidden="1"/>
    </xf>
    <xf numFmtId="169" fontId="5" fillId="0" borderId="65" xfId="0" applyNumberFormat="1" applyFont="1" applyBorder="1" applyAlignment="1" applyProtection="1">
      <alignment horizontal="center"/>
      <protection hidden="1"/>
    </xf>
    <xf numFmtId="169" fontId="5" fillId="0" borderId="71" xfId="0" applyNumberFormat="1" applyFont="1" applyBorder="1" applyAlignment="1" applyProtection="1">
      <alignment horizontal="center"/>
      <protection/>
    </xf>
    <xf numFmtId="169" fontId="5" fillId="0" borderId="24" xfId="0" applyNumberFormat="1" applyFont="1" applyBorder="1" applyAlignment="1" applyProtection="1">
      <alignment horizontal="center"/>
      <protection/>
    </xf>
    <xf numFmtId="169" fontId="5" fillId="0" borderId="26" xfId="0" applyNumberFormat="1" applyFont="1" applyBorder="1" applyAlignment="1" applyProtection="1">
      <alignment horizontal="center"/>
      <protection/>
    </xf>
    <xf numFmtId="0" fontId="31" fillId="0" borderId="0" xfId="0" applyNumberFormat="1" applyFont="1" applyBorder="1" applyAlignment="1" applyProtection="1">
      <alignment wrapText="1"/>
      <protection hidden="1"/>
    </xf>
    <xf numFmtId="2" fontId="6" fillId="0" borderId="52" xfId="0" applyNumberFormat="1" applyFont="1" applyBorder="1" applyAlignment="1" applyProtection="1">
      <alignment/>
      <protection locked="0"/>
    </xf>
    <xf numFmtId="0" fontId="6" fillId="0" borderId="47" xfId="0" applyNumberFormat="1" applyFont="1" applyBorder="1" applyAlignment="1" applyProtection="1">
      <alignment/>
      <protection locked="0"/>
    </xf>
    <xf numFmtId="2" fontId="6" fillId="0" borderId="47" xfId="0" applyNumberFormat="1" applyFont="1" applyBorder="1" applyAlignment="1" applyProtection="1">
      <alignment/>
      <protection locked="0"/>
    </xf>
    <xf numFmtId="0" fontId="5" fillId="0" borderId="21" xfId="0" applyNumberFormat="1" applyFont="1" applyBorder="1" applyAlignment="1" applyProtection="1">
      <alignment horizontal="fill"/>
      <protection/>
    </xf>
    <xf numFmtId="2" fontId="5" fillId="0" borderId="21" xfId="0" applyNumberFormat="1" applyFont="1" applyBorder="1" applyAlignment="1" applyProtection="1">
      <alignment/>
      <protection/>
    </xf>
    <xf numFmtId="2" fontId="5" fillId="0" borderId="27" xfId="0" applyNumberFormat="1" applyFont="1" applyBorder="1" applyAlignment="1" applyProtection="1">
      <alignment/>
      <protection/>
    </xf>
    <xf numFmtId="0" fontId="5" fillId="0" borderId="44" xfId="0" applyNumberFormat="1" applyFont="1" applyBorder="1" applyAlignment="1" applyProtection="1">
      <alignment horizontal="fill"/>
      <protection/>
    </xf>
    <xf numFmtId="2" fontId="5" fillId="0" borderId="0" xfId="0" applyNumberFormat="1" applyFont="1" applyBorder="1" applyAlignment="1" applyProtection="1">
      <alignment/>
      <protection/>
    </xf>
    <xf numFmtId="0" fontId="4" fillId="0" borderId="51" xfId="0" applyNumberFormat="1" applyFont="1" applyBorder="1" applyAlignment="1" applyProtection="1">
      <alignment horizontal="center"/>
      <protection/>
    </xf>
    <xf numFmtId="4" fontId="5" fillId="0" borderId="51" xfId="0" applyNumberFormat="1" applyFont="1" applyBorder="1" applyAlignment="1" applyProtection="1" quotePrefix="1">
      <alignment horizontal="center"/>
      <protection hidden="1"/>
    </xf>
    <xf numFmtId="3" fontId="5" fillId="0" borderId="51" xfId="0" applyNumberFormat="1" applyFont="1" applyBorder="1" applyAlignment="1" applyProtection="1" quotePrefix="1">
      <alignment horizontal="center"/>
      <protection hidden="1"/>
    </xf>
    <xf numFmtId="0" fontId="5" fillId="0" borderId="37" xfId="0" applyNumberFormat="1" applyFont="1" applyBorder="1" applyAlignment="1" applyProtection="1">
      <alignment horizontal="fill"/>
      <protection/>
    </xf>
    <xf numFmtId="2" fontId="5" fillId="0" borderId="37" xfId="0" applyNumberFormat="1" applyFont="1" applyBorder="1" applyAlignment="1" applyProtection="1">
      <alignment/>
      <protection/>
    </xf>
    <xf numFmtId="0" fontId="5" fillId="0" borderId="28" xfId="0" applyNumberFormat="1" applyFont="1" applyBorder="1" applyAlignment="1" applyProtection="1" quotePrefix="1">
      <alignment/>
      <protection/>
    </xf>
    <xf numFmtId="2" fontId="5" fillId="0" borderId="29" xfId="0" applyNumberFormat="1" applyFont="1" applyBorder="1" applyAlignment="1" applyProtection="1">
      <alignment/>
      <protection/>
    </xf>
    <xf numFmtId="0" fontId="4" fillId="0" borderId="54" xfId="0" applyNumberFormat="1" applyFont="1" applyBorder="1" applyAlignment="1" applyProtection="1">
      <alignment/>
      <protection/>
    </xf>
    <xf numFmtId="0" fontId="4" fillId="0" borderId="44" xfId="0" applyNumberFormat="1" applyFont="1" applyBorder="1" applyAlignment="1" applyProtection="1">
      <alignment/>
      <protection/>
    </xf>
    <xf numFmtId="14" fontId="6" fillId="0" borderId="47" xfId="0" applyNumberFormat="1" applyFont="1" applyBorder="1" applyAlignment="1" applyProtection="1">
      <alignment/>
      <protection locked="0"/>
    </xf>
    <xf numFmtId="14" fontId="5" fillId="0" borderId="47" xfId="0" applyNumberFormat="1" applyFont="1" applyBorder="1" applyAlignment="1" applyProtection="1">
      <alignment/>
      <protection hidden="1"/>
    </xf>
    <xf numFmtId="0" fontId="6" fillId="0" borderId="47" xfId="0" applyNumberFormat="1" applyFont="1" applyBorder="1" applyAlignment="1" applyProtection="1">
      <alignment horizontal="left"/>
      <protection locked="0"/>
    </xf>
    <xf numFmtId="0" fontId="5" fillId="0" borderId="47" xfId="0" applyNumberFormat="1" applyFont="1" applyBorder="1" applyAlignment="1" applyProtection="1">
      <alignment horizontal="right"/>
      <protection hidden="1"/>
    </xf>
    <xf numFmtId="0" fontId="5" fillId="0" borderId="47" xfId="0" applyNumberFormat="1" applyFont="1" applyBorder="1" applyAlignment="1" applyProtection="1">
      <alignment/>
      <protection hidden="1"/>
    </xf>
    <xf numFmtId="0" fontId="5" fillId="0" borderId="53" xfId="0" applyNumberFormat="1" applyFont="1" applyBorder="1" applyAlignment="1" applyProtection="1">
      <alignment horizontal="right"/>
      <protection hidden="1"/>
    </xf>
    <xf numFmtId="166" fontId="5" fillId="0" borderId="50" xfId="0" applyNumberFormat="1" applyFont="1" applyBorder="1" applyAlignment="1" applyProtection="1">
      <alignment/>
      <protection/>
    </xf>
    <xf numFmtId="0" fontId="13" fillId="0" borderId="72" xfId="0" applyFont="1" applyFill="1" applyBorder="1" applyAlignment="1" applyProtection="1">
      <alignment horizontal="center" vertical="center" wrapText="1"/>
      <protection hidden="1" locked="0"/>
    </xf>
    <xf numFmtId="0" fontId="5" fillId="0" borderId="22" xfId="0" applyFont="1" applyBorder="1" applyAlignment="1" applyProtection="1">
      <alignment/>
      <protection/>
    </xf>
    <xf numFmtId="164" fontId="6" fillId="0" borderId="49" xfId="0" applyNumberFormat="1" applyFont="1" applyBorder="1" applyAlignment="1" applyProtection="1">
      <alignment/>
      <protection locked="0"/>
    </xf>
    <xf numFmtId="0" fontId="6" fillId="0" borderId="49" xfId="0" applyNumberFormat="1" applyFont="1" applyBorder="1" applyAlignment="1" applyProtection="1">
      <alignment/>
      <protection locked="0"/>
    </xf>
    <xf numFmtId="3" fontId="6" fillId="0" borderId="48" xfId="0" applyNumberFormat="1" applyFont="1" applyBorder="1" applyAlignment="1" applyProtection="1">
      <alignment/>
      <protection locked="0"/>
    </xf>
    <xf numFmtId="167" fontId="6" fillId="0" borderId="47" xfId="0" applyNumberFormat="1" applyFont="1" applyBorder="1" applyAlignment="1" applyProtection="1">
      <alignment/>
      <protection locked="0"/>
    </xf>
    <xf numFmtId="168" fontId="5" fillId="0" borderId="50" xfId="0" applyNumberFormat="1" applyFont="1" applyBorder="1" applyAlignment="1" applyProtection="1">
      <alignment/>
      <protection hidden="1"/>
    </xf>
    <xf numFmtId="0" fontId="5" fillId="0" borderId="50" xfId="0" applyNumberFormat="1" applyFont="1" applyBorder="1" applyAlignment="1" applyProtection="1">
      <alignment horizontal="right"/>
      <protection/>
    </xf>
    <xf numFmtId="0" fontId="6" fillId="0" borderId="50" xfId="0" applyNumberFormat="1" applyFont="1" applyBorder="1" applyAlignment="1" applyProtection="1">
      <alignment horizontal="right"/>
      <protection locked="0"/>
    </xf>
    <xf numFmtId="0" fontId="5" fillId="0" borderId="19" xfId="0" applyNumberFormat="1" applyFont="1" applyBorder="1" applyAlignment="1" applyProtection="1">
      <alignment/>
      <protection/>
    </xf>
    <xf numFmtId="169" fontId="5" fillId="0" borderId="18" xfId="0" applyNumberFormat="1" applyFont="1" applyBorder="1" applyAlignment="1" applyProtection="1">
      <alignment/>
      <protection hidden="1"/>
    </xf>
    <xf numFmtId="0" fontId="5" fillId="0" borderId="0" xfId="0" applyNumberFormat="1" applyFont="1" applyFill="1" applyAlignment="1" applyProtection="1">
      <alignment/>
      <protection/>
    </xf>
    <xf numFmtId="0" fontId="5" fillId="0" borderId="0" xfId="0" applyFont="1" applyFill="1" applyBorder="1" applyAlignment="1" applyProtection="1">
      <alignment/>
      <protection/>
    </xf>
    <xf numFmtId="0" fontId="6" fillId="0" borderId="73" xfId="0" applyNumberFormat="1" applyFont="1" applyFill="1" applyBorder="1" applyAlignment="1" applyProtection="1">
      <alignment/>
      <protection/>
    </xf>
    <xf numFmtId="0" fontId="6" fillId="0" borderId="41" xfId="0" applyNumberFormat="1" applyFont="1" applyFill="1" applyBorder="1" applyAlignment="1" applyProtection="1">
      <alignment/>
      <protection/>
    </xf>
    <xf numFmtId="0" fontId="6" fillId="0" borderId="43" xfId="0" applyNumberFormat="1" applyFont="1" applyFill="1" applyBorder="1" applyAlignment="1" applyProtection="1">
      <alignment/>
      <protection/>
    </xf>
    <xf numFmtId="0" fontId="5" fillId="0" borderId="0" xfId="0" applyFont="1" applyFill="1" applyAlignment="1" applyProtection="1">
      <alignment/>
      <protection/>
    </xf>
    <xf numFmtId="165" fontId="5" fillId="0" borderId="73" xfId="0" applyNumberFormat="1" applyFont="1" applyFill="1" applyBorder="1" applyAlignment="1" applyProtection="1">
      <alignment/>
      <protection/>
    </xf>
    <xf numFmtId="165" fontId="5" fillId="0" borderId="41" xfId="0" applyNumberFormat="1" applyFont="1" applyFill="1" applyBorder="1" applyAlignment="1" applyProtection="1">
      <alignment/>
      <protection/>
    </xf>
    <xf numFmtId="165" fontId="5" fillId="0" borderId="43" xfId="0" applyNumberFormat="1" applyFont="1" applyFill="1" applyBorder="1" applyAlignment="1" applyProtection="1">
      <alignment/>
      <protection/>
    </xf>
    <xf numFmtId="0" fontId="5" fillId="33" borderId="74" xfId="0" applyNumberFormat="1" applyFont="1" applyFill="1" applyBorder="1" applyAlignment="1" applyProtection="1">
      <alignment horizontal="fill"/>
      <protection/>
    </xf>
    <xf numFmtId="0" fontId="5" fillId="33" borderId="73" xfId="0" applyNumberFormat="1" applyFont="1" applyFill="1" applyBorder="1" applyAlignment="1" applyProtection="1">
      <alignment horizontal="left"/>
      <protection/>
    </xf>
    <xf numFmtId="0" fontId="5" fillId="33" borderId="73" xfId="0" applyNumberFormat="1" applyFont="1" applyFill="1" applyBorder="1" applyAlignment="1" applyProtection="1">
      <alignment horizontal="right"/>
      <protection/>
    </xf>
    <xf numFmtId="0" fontId="5" fillId="33" borderId="73" xfId="0" applyNumberFormat="1" applyFont="1" applyFill="1" applyBorder="1" applyAlignment="1" applyProtection="1">
      <alignment/>
      <protection/>
    </xf>
    <xf numFmtId="0" fontId="5" fillId="33" borderId="50" xfId="0" applyNumberFormat="1" applyFont="1" applyFill="1" applyBorder="1" applyAlignment="1" applyProtection="1">
      <alignment/>
      <protection/>
    </xf>
    <xf numFmtId="0" fontId="5" fillId="33" borderId="74" xfId="0" applyNumberFormat="1" applyFont="1" applyFill="1" applyBorder="1" applyAlignment="1" applyProtection="1">
      <alignment/>
      <protection/>
    </xf>
    <xf numFmtId="0" fontId="5" fillId="33" borderId="42" xfId="0" applyNumberFormat="1" applyFont="1" applyFill="1" applyBorder="1" applyAlignment="1" applyProtection="1">
      <alignment/>
      <protection/>
    </xf>
    <xf numFmtId="0" fontId="5" fillId="33" borderId="18" xfId="0" applyNumberFormat="1" applyFont="1" applyFill="1" applyBorder="1" applyAlignment="1" applyProtection="1">
      <alignment/>
      <protection/>
    </xf>
    <xf numFmtId="0" fontId="6" fillId="33" borderId="18" xfId="0" applyNumberFormat="1" applyFont="1" applyFill="1" applyBorder="1" applyAlignment="1" applyProtection="1">
      <alignment/>
      <protection/>
    </xf>
    <xf numFmtId="0" fontId="6" fillId="34" borderId="48" xfId="0" applyNumberFormat="1" applyFont="1" applyFill="1" applyBorder="1" applyAlignment="1" applyProtection="1">
      <alignment/>
      <protection/>
    </xf>
    <xf numFmtId="0" fontId="5" fillId="33" borderId="41" xfId="0" applyNumberFormat="1" applyFont="1" applyFill="1" applyBorder="1" applyAlignment="1" applyProtection="1">
      <alignment/>
      <protection/>
    </xf>
    <xf numFmtId="0" fontId="5" fillId="33" borderId="0" xfId="0" applyNumberFormat="1" applyFont="1" applyFill="1" applyBorder="1" applyAlignment="1" applyProtection="1">
      <alignment/>
      <protection/>
    </xf>
    <xf numFmtId="0" fontId="5" fillId="33" borderId="73" xfId="0" applyNumberFormat="1" applyFont="1" applyFill="1" applyBorder="1" applyAlignment="1" applyProtection="1">
      <alignment horizontal="center"/>
      <protection hidden="1"/>
    </xf>
    <xf numFmtId="0" fontId="5" fillId="33" borderId="58" xfId="0" applyNumberFormat="1" applyFont="1" applyFill="1" applyBorder="1" applyAlignment="1" applyProtection="1">
      <alignment/>
      <protection/>
    </xf>
    <xf numFmtId="0" fontId="5" fillId="33" borderId="35" xfId="0" applyNumberFormat="1" applyFont="1" applyFill="1" applyBorder="1" applyAlignment="1" applyProtection="1">
      <alignment/>
      <protection/>
    </xf>
    <xf numFmtId="0" fontId="5" fillId="33" borderId="36" xfId="0" applyNumberFormat="1" applyFont="1" applyFill="1" applyBorder="1" applyAlignment="1" applyProtection="1">
      <alignment/>
      <protection/>
    </xf>
    <xf numFmtId="0" fontId="5" fillId="0" borderId="0" xfId="0" applyNumberFormat="1" applyFont="1" applyAlignment="1" applyProtection="1">
      <alignment vertical="center"/>
      <protection/>
    </xf>
    <xf numFmtId="0" fontId="31" fillId="0" borderId="0" xfId="0" applyNumberFormat="1" applyFont="1" applyBorder="1" applyAlignment="1" applyProtection="1">
      <alignment vertical="center" wrapText="1"/>
      <protection hidden="1"/>
    </xf>
    <xf numFmtId="0" fontId="5" fillId="0" borderId="0" xfId="0" applyNumberFormat="1" applyFont="1" applyBorder="1" applyAlignment="1" applyProtection="1">
      <alignment vertical="center"/>
      <protection/>
    </xf>
    <xf numFmtId="0" fontId="5" fillId="36" borderId="54" xfId="0" applyNumberFormat="1" applyFont="1" applyFill="1" applyBorder="1" applyAlignment="1" applyProtection="1">
      <alignment/>
      <protection/>
    </xf>
    <xf numFmtId="0" fontId="5" fillId="36" borderId="44" xfId="0" applyNumberFormat="1" applyFont="1" applyFill="1" applyBorder="1" applyAlignment="1" applyProtection="1">
      <alignment/>
      <protection/>
    </xf>
    <xf numFmtId="0" fontId="5" fillId="36" borderId="66" xfId="0" applyNumberFormat="1" applyFont="1" applyFill="1" applyBorder="1" applyAlignment="1" applyProtection="1">
      <alignment/>
      <protection/>
    </xf>
    <xf numFmtId="0" fontId="5" fillId="34" borderId="21" xfId="0" applyNumberFormat="1" applyFont="1" applyFill="1" applyBorder="1" applyAlignment="1" applyProtection="1">
      <alignment/>
      <protection/>
    </xf>
    <xf numFmtId="164" fontId="5" fillId="34" borderId="32" xfId="0" applyNumberFormat="1" applyFont="1" applyFill="1" applyBorder="1" applyAlignment="1" applyProtection="1">
      <alignment horizontal="center"/>
      <protection hidden="1"/>
    </xf>
    <xf numFmtId="164" fontId="6" fillId="34" borderId="33" xfId="0" applyNumberFormat="1" applyFont="1" applyFill="1" applyBorder="1" applyAlignment="1" applyProtection="1">
      <alignment horizontal="center"/>
      <protection/>
    </xf>
    <xf numFmtId="164" fontId="6" fillId="34" borderId="34" xfId="0" applyNumberFormat="1" applyFont="1" applyFill="1" applyBorder="1" applyAlignment="1" applyProtection="1">
      <alignment horizontal="center"/>
      <protection/>
    </xf>
    <xf numFmtId="0" fontId="6" fillId="34" borderId="67" xfId="0" applyNumberFormat="1" applyFont="1" applyFill="1" applyBorder="1" applyAlignment="1" applyProtection="1">
      <alignment/>
      <protection/>
    </xf>
    <xf numFmtId="0" fontId="6" fillId="34" borderId="71" xfId="0" applyNumberFormat="1" applyFont="1" applyFill="1" applyBorder="1" applyAlignment="1" applyProtection="1">
      <alignment/>
      <protection/>
    </xf>
    <xf numFmtId="0" fontId="5" fillId="36" borderId="44" xfId="0" applyNumberFormat="1" applyFont="1" applyFill="1" applyBorder="1" applyAlignment="1" applyProtection="1">
      <alignment horizontal="fill"/>
      <protection/>
    </xf>
    <xf numFmtId="0" fontId="5" fillId="36" borderId="66" xfId="0" applyNumberFormat="1" applyFont="1" applyFill="1" applyBorder="1" applyAlignment="1" applyProtection="1">
      <alignment horizontal="fill"/>
      <protection/>
    </xf>
    <xf numFmtId="0" fontId="5" fillId="34" borderId="55" xfId="0" applyNumberFormat="1" applyFont="1" applyFill="1" applyBorder="1" applyAlignment="1" applyProtection="1">
      <alignment horizontal="center"/>
      <protection hidden="1"/>
    </xf>
    <xf numFmtId="0" fontId="5" fillId="34" borderId="20" xfId="0" applyNumberFormat="1" applyFont="1" applyFill="1" applyBorder="1" applyAlignment="1" applyProtection="1">
      <alignment horizontal="center"/>
      <protection hidden="1"/>
    </xf>
    <xf numFmtId="0" fontId="5" fillId="34" borderId="45" xfId="0" applyNumberFormat="1" applyFont="1" applyFill="1" applyBorder="1" applyAlignment="1" applyProtection="1">
      <alignment horizontal="center"/>
      <protection hidden="1"/>
    </xf>
    <xf numFmtId="0" fontId="4" fillId="37" borderId="56" xfId="0" applyNumberFormat="1" applyFont="1" applyFill="1" applyBorder="1" applyAlignment="1" applyProtection="1">
      <alignment/>
      <protection/>
    </xf>
    <xf numFmtId="0" fontId="4" fillId="37" borderId="21" xfId="0" applyNumberFormat="1" applyFont="1" applyFill="1" applyBorder="1" applyAlignment="1" applyProtection="1">
      <alignment/>
      <protection/>
    </xf>
    <xf numFmtId="0" fontId="4" fillId="37" borderId="37" xfId="0" applyNumberFormat="1" applyFont="1" applyFill="1" applyBorder="1" applyAlignment="1" applyProtection="1">
      <alignment/>
      <protection/>
    </xf>
    <xf numFmtId="167" fontId="4" fillId="37" borderId="32" xfId="0" applyNumberFormat="1" applyFont="1" applyFill="1" applyBorder="1" applyAlignment="1" applyProtection="1">
      <alignment horizontal="center"/>
      <protection hidden="1"/>
    </xf>
    <xf numFmtId="167" fontId="4" fillId="37" borderId="33" xfId="0" applyNumberFormat="1" applyFont="1" applyFill="1" applyBorder="1" applyAlignment="1" applyProtection="1">
      <alignment horizontal="center"/>
      <protection hidden="1"/>
    </xf>
    <xf numFmtId="167" fontId="4" fillId="37" borderId="34" xfId="0" applyNumberFormat="1" applyFont="1" applyFill="1" applyBorder="1" applyAlignment="1" applyProtection="1">
      <alignment horizontal="center"/>
      <protection hidden="1"/>
    </xf>
    <xf numFmtId="0" fontId="5" fillId="33" borderId="54" xfId="0" applyNumberFormat="1" applyFont="1" applyFill="1" applyBorder="1" applyAlignment="1" applyProtection="1">
      <alignment horizontal="center"/>
      <protection hidden="1"/>
    </xf>
    <xf numFmtId="0" fontId="5" fillId="33" borderId="44" xfId="0" applyNumberFormat="1" applyFont="1" applyFill="1" applyBorder="1" applyAlignment="1" applyProtection="1">
      <alignment horizontal="center"/>
      <protection hidden="1"/>
    </xf>
    <xf numFmtId="0" fontId="5" fillId="33" borderId="66" xfId="0" applyNumberFormat="1" applyFont="1" applyFill="1" applyBorder="1" applyAlignment="1" applyProtection="1">
      <alignment horizontal="center"/>
      <protection hidden="1"/>
    </xf>
    <xf numFmtId="0" fontId="4" fillId="36" borderId="54" xfId="0" applyNumberFormat="1" applyFont="1" applyFill="1" applyBorder="1" applyAlignment="1" applyProtection="1">
      <alignment/>
      <protection/>
    </xf>
    <xf numFmtId="0" fontId="5" fillId="0" borderId="0" xfId="0" applyFont="1" applyAlignment="1" applyProtection="1">
      <alignment vertical="center"/>
      <protection/>
    </xf>
    <xf numFmtId="0" fontId="31" fillId="36" borderId="75" xfId="0" applyNumberFormat="1" applyFont="1" applyFill="1" applyBorder="1" applyAlignment="1" applyProtection="1">
      <alignment vertical="center"/>
      <protection/>
    </xf>
    <xf numFmtId="0" fontId="5" fillId="36" borderId="76" xfId="0" applyNumberFormat="1" applyFont="1" applyFill="1" applyBorder="1" applyAlignment="1" applyProtection="1">
      <alignment vertical="center"/>
      <protection/>
    </xf>
    <xf numFmtId="0" fontId="5" fillId="36" borderId="76" xfId="0" applyFont="1" applyFill="1" applyBorder="1" applyAlignment="1" applyProtection="1">
      <alignment vertical="center"/>
      <protection/>
    </xf>
    <xf numFmtId="0" fontId="5" fillId="36" borderId="77" xfId="0" applyNumberFormat="1" applyFont="1" applyFill="1" applyBorder="1" applyAlignment="1" applyProtection="1">
      <alignment vertical="center"/>
      <protection/>
    </xf>
    <xf numFmtId="0" fontId="6" fillId="37" borderId="0" xfId="0" applyNumberFormat="1" applyFont="1" applyFill="1" applyBorder="1" applyAlignment="1" applyProtection="1">
      <alignment horizontal="center"/>
      <protection locked="0"/>
    </xf>
    <xf numFmtId="0" fontId="5" fillId="37" borderId="0" xfId="0" applyNumberFormat="1" applyFont="1" applyFill="1" applyBorder="1" applyAlignment="1" applyProtection="1">
      <alignment horizontal="center"/>
      <protection locked="0"/>
    </xf>
    <xf numFmtId="0" fontId="6" fillId="37" borderId="16" xfId="0" applyNumberFormat="1" applyFont="1" applyFill="1" applyBorder="1" applyAlignment="1" applyProtection="1">
      <alignment horizontal="center"/>
      <protection locked="0"/>
    </xf>
    <xf numFmtId="0" fontId="5" fillId="37" borderId="16" xfId="0" applyNumberFormat="1" applyFont="1" applyFill="1" applyBorder="1" applyAlignment="1" applyProtection="1">
      <alignment horizontal="center"/>
      <protection locked="0"/>
    </xf>
    <xf numFmtId="168" fontId="23" fillId="0" borderId="0" xfId="0" applyNumberFormat="1" applyFont="1" applyAlignment="1" applyProtection="1">
      <alignment/>
      <protection/>
    </xf>
    <xf numFmtId="167" fontId="23" fillId="0" borderId="0" xfId="0" applyNumberFormat="1" applyFont="1" applyAlignment="1" applyProtection="1">
      <alignment/>
      <protection/>
    </xf>
    <xf numFmtId="164" fontId="23" fillId="0" borderId="0" xfId="0" applyNumberFormat="1" applyFont="1" applyAlignment="1" applyProtection="1">
      <alignment/>
      <protection/>
    </xf>
    <xf numFmtId="0" fontId="4" fillId="34" borderId="74" xfId="0" applyNumberFormat="1" applyFont="1" applyFill="1" applyBorder="1" applyAlignment="1" applyProtection="1">
      <alignment horizontal="center"/>
      <protection/>
    </xf>
    <xf numFmtId="0" fontId="5" fillId="34" borderId="41"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0" fontId="5" fillId="34" borderId="73" xfId="0" applyNumberFormat="1" applyFont="1" applyFill="1" applyBorder="1" applyAlignment="1" applyProtection="1">
      <alignment horizontal="center"/>
      <protection hidden="1"/>
    </xf>
    <xf numFmtId="0" fontId="5" fillId="38" borderId="41" xfId="0" applyNumberFormat="1" applyFont="1" applyFill="1" applyBorder="1" applyAlignment="1" applyProtection="1">
      <alignment/>
      <protection/>
    </xf>
    <xf numFmtId="0" fontId="5" fillId="38" borderId="0" xfId="0" applyNumberFormat="1" applyFont="1" applyFill="1" applyBorder="1" applyAlignment="1" applyProtection="1">
      <alignment/>
      <protection/>
    </xf>
    <xf numFmtId="0" fontId="5" fillId="38" borderId="73" xfId="0" applyNumberFormat="1" applyFont="1" applyFill="1" applyBorder="1" applyAlignment="1" applyProtection="1">
      <alignment horizontal="center"/>
      <protection hidden="1"/>
    </xf>
    <xf numFmtId="0" fontId="4" fillId="39" borderId="47" xfId="0" applyNumberFormat="1" applyFont="1" applyFill="1" applyBorder="1" applyAlignment="1" applyProtection="1">
      <alignment horizontal="center"/>
      <protection/>
    </xf>
    <xf numFmtId="0" fontId="4" fillId="39" borderId="32" xfId="0" applyNumberFormat="1" applyFont="1" applyFill="1" applyBorder="1" applyAlignment="1" applyProtection="1">
      <alignment horizontal="center"/>
      <protection/>
    </xf>
    <xf numFmtId="0" fontId="4" fillId="39" borderId="34" xfId="0" applyNumberFormat="1" applyFont="1" applyFill="1" applyBorder="1" applyAlignment="1" applyProtection="1">
      <alignment horizontal="center"/>
      <protection/>
    </xf>
    <xf numFmtId="0" fontId="4" fillId="39" borderId="47" xfId="0" applyNumberFormat="1" applyFont="1" applyFill="1" applyBorder="1" applyAlignment="1" applyProtection="1">
      <alignment horizontal="right"/>
      <protection/>
    </xf>
    <xf numFmtId="0" fontId="5" fillId="39" borderId="18" xfId="0" applyNumberFormat="1" applyFont="1" applyFill="1" applyBorder="1" applyAlignment="1" applyProtection="1">
      <alignment/>
      <protection/>
    </xf>
    <xf numFmtId="0" fontId="5" fillId="39" borderId="35" xfId="0" applyNumberFormat="1" applyFont="1" applyFill="1" applyBorder="1" applyAlignment="1" applyProtection="1">
      <alignment/>
      <protection/>
    </xf>
    <xf numFmtId="0" fontId="5" fillId="39" borderId="22" xfId="0" applyNumberFormat="1" applyFont="1" applyFill="1" applyBorder="1" applyAlignment="1" applyProtection="1">
      <alignment/>
      <protection/>
    </xf>
    <xf numFmtId="0" fontId="5" fillId="39" borderId="0" xfId="0" applyNumberFormat="1" applyFont="1" applyFill="1" applyBorder="1" applyAlignment="1" applyProtection="1">
      <alignment/>
      <protection/>
    </xf>
    <xf numFmtId="0" fontId="5" fillId="39" borderId="58" xfId="0" applyNumberFormat="1" applyFont="1" applyFill="1" applyBorder="1" applyAlignment="1" applyProtection="1">
      <alignment/>
      <protection/>
    </xf>
    <xf numFmtId="0" fontId="5" fillId="39" borderId="21" xfId="0" applyNumberFormat="1" applyFont="1" applyFill="1" applyBorder="1" applyAlignment="1" applyProtection="1">
      <alignment/>
      <protection/>
    </xf>
    <xf numFmtId="0" fontId="5" fillId="39" borderId="50" xfId="0" applyNumberFormat="1" applyFont="1" applyFill="1" applyBorder="1" applyAlignment="1" applyProtection="1">
      <alignment/>
      <protection/>
    </xf>
    <xf numFmtId="0" fontId="5" fillId="39" borderId="42" xfId="0" applyNumberFormat="1" applyFont="1" applyFill="1" applyBorder="1" applyAlignment="1" applyProtection="1">
      <alignment/>
      <protection/>
    </xf>
    <xf numFmtId="0" fontId="5" fillId="39" borderId="49" xfId="0" applyNumberFormat="1" applyFont="1" applyFill="1" applyBorder="1" applyAlignment="1" applyProtection="1">
      <alignment/>
      <protection/>
    </xf>
    <xf numFmtId="0" fontId="5" fillId="39" borderId="48" xfId="0" applyNumberFormat="1" applyFont="1" applyFill="1" applyBorder="1" applyAlignment="1" applyProtection="1">
      <alignment/>
      <protection/>
    </xf>
    <xf numFmtId="0" fontId="5" fillId="39" borderId="73" xfId="0" applyNumberFormat="1" applyFont="1" applyFill="1" applyBorder="1" applyAlignment="1" applyProtection="1">
      <alignment/>
      <protection/>
    </xf>
    <xf numFmtId="0" fontId="5" fillId="39" borderId="47" xfId="0" applyNumberFormat="1" applyFont="1" applyFill="1" applyBorder="1" applyAlignment="1" applyProtection="1">
      <alignment/>
      <protection/>
    </xf>
    <xf numFmtId="0" fontId="5" fillId="0" borderId="35" xfId="0" applyFont="1" applyBorder="1" applyAlignment="1" applyProtection="1">
      <alignment/>
      <protection/>
    </xf>
    <xf numFmtId="0" fontId="5" fillId="0" borderId="21" xfId="0" applyFont="1" applyBorder="1" applyAlignment="1" applyProtection="1">
      <alignment/>
      <protection/>
    </xf>
    <xf numFmtId="0" fontId="5" fillId="34" borderId="0" xfId="0" applyFont="1" applyFill="1" applyAlignment="1" applyProtection="1">
      <alignment/>
      <protection/>
    </xf>
    <xf numFmtId="0" fontId="5" fillId="34" borderId="0" xfId="0" applyFont="1" applyFill="1" applyBorder="1" applyAlignment="1" applyProtection="1">
      <alignment/>
      <protection/>
    </xf>
    <xf numFmtId="0" fontId="4" fillId="36" borderId="10" xfId="0" applyFont="1" applyFill="1" applyBorder="1" applyAlignment="1" applyProtection="1">
      <alignment/>
      <protection/>
    </xf>
    <xf numFmtId="0" fontId="5" fillId="36" borderId="11" xfId="0" applyFont="1" applyFill="1" applyBorder="1" applyAlignment="1" applyProtection="1">
      <alignment/>
      <protection/>
    </xf>
    <xf numFmtId="0" fontId="5" fillId="36" borderId="12" xfId="0" applyFont="1" applyFill="1" applyBorder="1" applyAlignment="1" applyProtection="1">
      <alignment/>
      <protection/>
    </xf>
    <xf numFmtId="0" fontId="4" fillId="36" borderId="13" xfId="0" applyFont="1" applyFill="1" applyBorder="1" applyAlignment="1" applyProtection="1">
      <alignment/>
      <protection/>
    </xf>
    <xf numFmtId="0" fontId="5" fillId="36" borderId="0" xfId="0" applyFont="1" applyFill="1" applyBorder="1" applyAlignment="1" applyProtection="1">
      <alignment/>
      <protection/>
    </xf>
    <xf numFmtId="0" fontId="5" fillId="36" borderId="14" xfId="0" applyFont="1" applyFill="1" applyBorder="1" applyAlignment="1" applyProtection="1">
      <alignment/>
      <protection/>
    </xf>
    <xf numFmtId="0" fontId="5" fillId="36" borderId="13" xfId="0" applyFont="1" applyFill="1" applyBorder="1" applyAlignment="1" applyProtection="1">
      <alignment/>
      <protection/>
    </xf>
    <xf numFmtId="14" fontId="5" fillId="36" borderId="0" xfId="0" applyNumberFormat="1" applyFont="1" applyFill="1" applyBorder="1" applyAlignment="1" applyProtection="1">
      <alignment/>
      <protection/>
    </xf>
    <xf numFmtId="0" fontId="5" fillId="36" borderId="14" xfId="0" applyFont="1" applyFill="1" applyBorder="1" applyAlignment="1" applyProtection="1">
      <alignment horizontal="right"/>
      <protection/>
    </xf>
    <xf numFmtId="2" fontId="5" fillId="36" borderId="0" xfId="0" applyNumberFormat="1" applyFont="1" applyFill="1" applyBorder="1" applyAlignment="1" applyProtection="1">
      <alignment/>
      <protection/>
    </xf>
    <xf numFmtId="0" fontId="5" fillId="36" borderId="0" xfId="0" applyFont="1" applyFill="1" applyBorder="1" applyAlignment="1" applyProtection="1" quotePrefix="1">
      <alignment/>
      <protection/>
    </xf>
    <xf numFmtId="0" fontId="5" fillId="36" borderId="15" xfId="0" applyFont="1" applyFill="1" applyBorder="1" applyAlignment="1" applyProtection="1">
      <alignment/>
      <protection/>
    </xf>
    <xf numFmtId="0" fontId="5" fillId="36" borderId="16" xfId="0" applyFont="1" applyFill="1" applyBorder="1" applyAlignment="1" applyProtection="1">
      <alignment/>
      <protection/>
    </xf>
    <xf numFmtId="0" fontId="5" fillId="36" borderId="17" xfId="0" applyFont="1" applyFill="1" applyBorder="1" applyAlignment="1" applyProtection="1">
      <alignment horizontal="right"/>
      <protection/>
    </xf>
    <xf numFmtId="0" fontId="5" fillId="34" borderId="0" xfId="0" applyFont="1" applyFill="1" applyBorder="1" applyAlignment="1" applyProtection="1">
      <alignment horizontal="right"/>
      <protection/>
    </xf>
    <xf numFmtId="0" fontId="5" fillId="34" borderId="0" xfId="0" applyFont="1" applyFill="1" applyAlignment="1" applyProtection="1">
      <alignment horizontal="right"/>
      <protection/>
    </xf>
    <xf numFmtId="0" fontId="4" fillId="40" borderId="0" xfId="0" applyFont="1" applyFill="1" applyAlignment="1" applyProtection="1">
      <alignment/>
      <protection/>
    </xf>
    <xf numFmtId="0" fontId="5" fillId="40" borderId="0" xfId="0" applyFont="1" applyFill="1" applyAlignment="1" applyProtection="1">
      <alignment/>
      <protection/>
    </xf>
    <xf numFmtId="0" fontId="24" fillId="0" borderId="0" xfId="0" applyFont="1" applyAlignment="1" applyProtection="1">
      <alignment/>
      <protection/>
    </xf>
    <xf numFmtId="0" fontId="5" fillId="0" borderId="0" xfId="0" applyFont="1" applyAlignment="1" applyProtection="1">
      <alignment/>
      <protection/>
    </xf>
    <xf numFmtId="0" fontId="5" fillId="36" borderId="78" xfId="0" applyFont="1" applyFill="1" applyBorder="1" applyAlignment="1" applyProtection="1">
      <alignment/>
      <protection/>
    </xf>
    <xf numFmtId="0" fontId="5" fillId="36" borderId="79" xfId="0" applyFont="1" applyFill="1" applyBorder="1" applyAlignment="1" applyProtection="1">
      <alignment/>
      <protection/>
    </xf>
    <xf numFmtId="0" fontId="5" fillId="36" borderId="18" xfId="0" applyFont="1" applyFill="1" applyBorder="1" applyAlignment="1" applyProtection="1" quotePrefix="1">
      <alignment horizontal="center"/>
      <protection/>
    </xf>
    <xf numFmtId="0" fontId="5" fillId="36" borderId="18" xfId="0" applyFont="1" applyFill="1" applyBorder="1" applyAlignment="1" applyProtection="1">
      <alignment/>
      <protection/>
    </xf>
    <xf numFmtId="0" fontId="5" fillId="36" borderId="80" xfId="0" applyFont="1" applyFill="1" applyBorder="1" applyAlignment="1" applyProtection="1">
      <alignment horizontal="right"/>
      <protection/>
    </xf>
    <xf numFmtId="0" fontId="5" fillId="36" borderId="81" xfId="0" applyFont="1" applyFill="1" applyBorder="1" applyAlignment="1" applyProtection="1">
      <alignment horizontal="center"/>
      <protection/>
    </xf>
    <xf numFmtId="0" fontId="5" fillId="39" borderId="0" xfId="0" applyFont="1" applyFill="1" applyBorder="1" applyAlignment="1" applyProtection="1">
      <alignment/>
      <protection/>
    </xf>
    <xf numFmtId="0" fontId="5" fillId="36" borderId="82" xfId="0" applyFont="1" applyFill="1" applyBorder="1" applyAlignment="1" applyProtection="1">
      <alignment horizontal="center"/>
      <protection/>
    </xf>
    <xf numFmtId="0" fontId="5" fillId="36" borderId="83" xfId="0" applyFont="1" applyFill="1" applyBorder="1" applyAlignment="1" applyProtection="1">
      <alignment horizontal="center"/>
      <protection/>
    </xf>
    <xf numFmtId="0" fontId="5" fillId="39" borderId="0" xfId="0" applyFont="1" applyFill="1" applyBorder="1" applyAlignment="1" applyProtection="1">
      <alignment/>
      <protection/>
    </xf>
    <xf numFmtId="0" fontId="5" fillId="36" borderId="84" xfId="0" applyFont="1" applyFill="1" applyBorder="1" applyAlignment="1" applyProtection="1">
      <alignment horizontal="center"/>
      <protection/>
    </xf>
    <xf numFmtId="0" fontId="5" fillId="39" borderId="14" xfId="0" applyFont="1" applyFill="1" applyBorder="1" applyAlignment="1" applyProtection="1">
      <alignment horizontal="right"/>
      <protection/>
    </xf>
    <xf numFmtId="0" fontId="5" fillId="39" borderId="14" xfId="0" applyFont="1" applyFill="1" applyBorder="1" applyAlignment="1" applyProtection="1">
      <alignment/>
      <protection/>
    </xf>
    <xf numFmtId="0" fontId="5" fillId="36" borderId="85" xfId="0" applyFont="1" applyFill="1" applyBorder="1" applyAlignment="1" applyProtection="1">
      <alignment horizontal="center"/>
      <protection/>
    </xf>
    <xf numFmtId="0" fontId="5" fillId="39" borderId="16" xfId="0" applyFont="1" applyFill="1" applyBorder="1" applyAlignment="1" applyProtection="1">
      <alignment/>
      <protection/>
    </xf>
    <xf numFmtId="0" fontId="5" fillId="39" borderId="17" xfId="0" applyFont="1" applyFill="1" applyBorder="1" applyAlignment="1" applyProtection="1">
      <alignment/>
      <protection/>
    </xf>
    <xf numFmtId="0" fontId="5" fillId="33" borderId="10" xfId="0" applyFont="1" applyFill="1" applyBorder="1" applyAlignment="1" applyProtection="1">
      <alignment/>
      <protection/>
    </xf>
    <xf numFmtId="0" fontId="5" fillId="33" borderId="11" xfId="0" applyFont="1" applyFill="1" applyBorder="1" applyAlignment="1" applyProtection="1">
      <alignment/>
      <protection/>
    </xf>
    <xf numFmtId="0" fontId="5" fillId="33" borderId="12" xfId="0" applyFont="1" applyFill="1" applyBorder="1" applyAlignment="1" applyProtection="1">
      <alignment/>
      <protection/>
    </xf>
    <xf numFmtId="0" fontId="5" fillId="33" borderId="15" xfId="0" applyFont="1" applyFill="1" applyBorder="1" applyAlignment="1" applyProtection="1">
      <alignment/>
      <protection/>
    </xf>
    <xf numFmtId="0" fontId="5" fillId="33" borderId="16" xfId="0" applyFont="1" applyFill="1" applyBorder="1" applyAlignment="1" applyProtection="1">
      <alignment/>
      <protection/>
    </xf>
    <xf numFmtId="0" fontId="5" fillId="33" borderId="17" xfId="0" applyFont="1" applyFill="1" applyBorder="1" applyAlignment="1" applyProtection="1">
      <alignment/>
      <protection/>
    </xf>
    <xf numFmtId="0" fontId="5" fillId="37" borderId="10" xfId="0" applyNumberFormat="1" applyFont="1" applyFill="1" applyBorder="1" applyAlignment="1" applyProtection="1">
      <alignment horizontal="center"/>
      <protection locked="0"/>
    </xf>
    <xf numFmtId="0" fontId="5" fillId="37" borderId="11" xfId="0" applyNumberFormat="1" applyFont="1" applyFill="1" applyBorder="1" applyAlignment="1" applyProtection="1">
      <alignment/>
      <protection locked="0"/>
    </xf>
    <xf numFmtId="0" fontId="5" fillId="37" borderId="11" xfId="0" applyFont="1" applyFill="1" applyBorder="1" applyAlignment="1" applyProtection="1">
      <alignment/>
      <protection locked="0"/>
    </xf>
    <xf numFmtId="0" fontId="5" fillId="37" borderId="12" xfId="0" applyFont="1" applyFill="1" applyBorder="1" applyAlignment="1" applyProtection="1">
      <alignment/>
      <protection locked="0"/>
    </xf>
    <xf numFmtId="0" fontId="5" fillId="37" borderId="79" xfId="0" applyNumberFormat="1" applyFont="1" applyFill="1" applyBorder="1" applyAlignment="1" applyProtection="1">
      <alignment horizontal="left"/>
      <protection locked="0"/>
    </xf>
    <xf numFmtId="0" fontId="5" fillId="37" borderId="18" xfId="0" applyFont="1" applyFill="1" applyBorder="1" applyAlignment="1" applyProtection="1">
      <alignment/>
      <protection locked="0"/>
    </xf>
    <xf numFmtId="0" fontId="5" fillId="37" borderId="80" xfId="0" applyFont="1" applyFill="1" applyBorder="1" applyAlignment="1" applyProtection="1">
      <alignment/>
      <protection locked="0"/>
    </xf>
    <xf numFmtId="0" fontId="5" fillId="37" borderId="13" xfId="0" applyNumberFormat="1" applyFont="1" applyFill="1" applyBorder="1" applyAlignment="1" applyProtection="1">
      <alignment horizontal="center"/>
      <protection locked="0"/>
    </xf>
    <xf numFmtId="0" fontId="5" fillId="37" borderId="0" xfId="0" applyFont="1" applyFill="1" applyBorder="1" applyAlignment="1" applyProtection="1">
      <alignment/>
      <protection locked="0"/>
    </xf>
    <xf numFmtId="0" fontId="5" fillId="37" borderId="14" xfId="0" applyFont="1" applyFill="1" applyBorder="1" applyAlignment="1" applyProtection="1">
      <alignment/>
      <protection locked="0"/>
    </xf>
    <xf numFmtId="0" fontId="5" fillId="37" borderId="15" xfId="0" applyNumberFormat="1" applyFont="1" applyFill="1" applyBorder="1" applyAlignment="1" applyProtection="1">
      <alignment horizontal="center"/>
      <protection locked="0"/>
    </xf>
    <xf numFmtId="0" fontId="5" fillId="37" borderId="16" xfId="0" applyFont="1" applyFill="1" applyBorder="1" applyAlignment="1" applyProtection="1">
      <alignment/>
      <protection locked="0"/>
    </xf>
    <xf numFmtId="0" fontId="5" fillId="37" borderId="17" xfId="0" applyFont="1" applyFill="1" applyBorder="1" applyAlignment="1" applyProtection="1">
      <alignment/>
      <protection locked="0"/>
    </xf>
    <xf numFmtId="0" fontId="36" fillId="36" borderId="20" xfId="0" applyFont="1" applyFill="1" applyBorder="1" applyAlignment="1" applyProtection="1">
      <alignment/>
      <protection locked="0"/>
    </xf>
    <xf numFmtId="0" fontId="36" fillId="36" borderId="21" xfId="0" applyFont="1" applyFill="1" applyBorder="1" applyAlignment="1" applyProtection="1">
      <alignment/>
      <protection locked="0"/>
    </xf>
    <xf numFmtId="0" fontId="6" fillId="36" borderId="21" xfId="0" applyFont="1" applyFill="1" applyBorder="1" applyAlignment="1" applyProtection="1">
      <alignment/>
      <protection locked="0"/>
    </xf>
    <xf numFmtId="0" fontId="6" fillId="36" borderId="86" xfId="0" applyFont="1" applyFill="1" applyBorder="1" applyAlignment="1" applyProtection="1">
      <alignment/>
      <protection locked="0"/>
    </xf>
    <xf numFmtId="0" fontId="36" fillId="36" borderId="82" xfId="0" applyFont="1" applyFill="1" applyBorder="1" applyAlignment="1" applyProtection="1">
      <alignment/>
      <protection locked="0"/>
    </xf>
    <xf numFmtId="0" fontId="36" fillId="36" borderId="87" xfId="0" applyFont="1" applyFill="1" applyBorder="1" applyAlignment="1" applyProtection="1">
      <alignment horizontal="right"/>
      <protection locked="0"/>
    </xf>
    <xf numFmtId="0" fontId="36" fillId="36" borderId="84" xfId="0" applyFont="1" applyFill="1" applyBorder="1" applyAlignment="1" applyProtection="1">
      <alignment/>
      <protection locked="0"/>
    </xf>
    <xf numFmtId="0" fontId="36" fillId="36" borderId="88" xfId="0" applyFont="1" applyFill="1" applyBorder="1" applyAlignment="1" applyProtection="1">
      <alignment/>
      <protection locked="0"/>
    </xf>
    <xf numFmtId="0" fontId="36" fillId="36" borderId="88" xfId="0" applyFont="1" applyFill="1" applyBorder="1" applyAlignment="1" applyProtection="1">
      <alignment horizontal="right"/>
      <protection locked="0"/>
    </xf>
    <xf numFmtId="0" fontId="36" fillId="36" borderId="89" xfId="0" applyFont="1" applyFill="1" applyBorder="1" applyAlignment="1" applyProtection="1">
      <alignment/>
      <protection locked="0"/>
    </xf>
    <xf numFmtId="0" fontId="36" fillId="36" borderId="90" xfId="0" applyFont="1" applyFill="1" applyBorder="1" applyAlignment="1" applyProtection="1">
      <alignment horizontal="right"/>
      <protection locked="0"/>
    </xf>
    <xf numFmtId="0" fontId="5" fillId="0" borderId="11" xfId="0" applyNumberFormat="1" applyFont="1" applyBorder="1" applyAlignment="1" applyProtection="1">
      <alignment/>
      <protection/>
    </xf>
    <xf numFmtId="0" fontId="0" fillId="0" borderId="11" xfId="0" applyBorder="1" applyAlignment="1">
      <alignment vertical="center" wrapText="1"/>
    </xf>
    <xf numFmtId="0" fontId="5" fillId="0" borderId="11" xfId="0" applyNumberFormat="1" applyFont="1" applyBorder="1" applyAlignment="1" applyProtection="1">
      <alignment horizontal="right"/>
      <protection/>
    </xf>
    <xf numFmtId="0" fontId="14" fillId="33" borderId="0" xfId="0" applyFont="1" applyFill="1" applyBorder="1" applyAlignment="1">
      <alignment horizontal="center" wrapText="1"/>
    </xf>
    <xf numFmtId="0" fontId="0" fillId="33" borderId="0" xfId="0" applyFill="1" applyBorder="1" applyAlignment="1">
      <alignment horizontal="center" wrapText="1"/>
    </xf>
    <xf numFmtId="0" fontId="10"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5" fillId="0" borderId="0" xfId="0" applyFont="1" applyBorder="1" applyAlignment="1">
      <alignment vertical="top" wrapText="1"/>
    </xf>
    <xf numFmtId="0" fontId="0" fillId="0" borderId="0" xfId="0" applyBorder="1" applyAlignment="1">
      <alignment wrapText="1"/>
    </xf>
    <xf numFmtId="0" fontId="18" fillId="0" borderId="0"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lignment wrapText="1"/>
    </xf>
    <xf numFmtId="0" fontId="18" fillId="0" borderId="0" xfId="0" applyFont="1" applyBorder="1" applyAlignment="1">
      <alignment/>
    </xf>
    <xf numFmtId="0" fontId="5" fillId="0" borderId="0" xfId="0" applyFont="1" applyBorder="1" applyAlignment="1">
      <alignment/>
    </xf>
    <xf numFmtId="0" fontId="5" fillId="0" borderId="21" xfId="0" applyNumberFormat="1" applyFont="1" applyBorder="1" applyAlignment="1" applyProtection="1">
      <alignment/>
      <protection/>
    </xf>
    <xf numFmtId="0" fontId="0" fillId="0" borderId="21" xfId="0" applyBorder="1" applyAlignment="1">
      <alignment/>
    </xf>
    <xf numFmtId="0" fontId="5" fillId="0" borderId="20" xfId="0" applyNumberFormat="1" applyFont="1" applyBorder="1" applyAlignment="1" applyProtection="1">
      <alignment/>
      <protection/>
    </xf>
    <xf numFmtId="0" fontId="0" fillId="0" borderId="20" xfId="0" applyBorder="1" applyAlignment="1">
      <alignment/>
    </xf>
    <xf numFmtId="0" fontId="9" fillId="0" borderId="18" xfId="0" applyNumberFormat="1" applyFont="1" applyBorder="1" applyAlignment="1" applyProtection="1">
      <alignment horizontal="center"/>
      <protection/>
    </xf>
    <xf numFmtId="0" fontId="17" fillId="36" borderId="54" xfId="0" applyNumberFormat="1" applyFont="1" applyFill="1" applyBorder="1" applyAlignment="1" applyProtection="1">
      <alignment horizontal="center"/>
      <protection/>
    </xf>
    <xf numFmtId="0" fontId="17" fillId="36" borderId="44" xfId="0" applyNumberFormat="1" applyFont="1" applyFill="1" applyBorder="1" applyAlignment="1" applyProtection="1">
      <alignment horizontal="center"/>
      <protection/>
    </xf>
    <xf numFmtId="0" fontId="17" fillId="36" borderId="66" xfId="0" applyNumberFormat="1" applyFont="1" applyFill="1" applyBorder="1" applyAlignment="1" applyProtection="1">
      <alignment horizontal="center"/>
      <protection/>
    </xf>
    <xf numFmtId="0" fontId="0" fillId="0" borderId="35" xfId="0" applyBorder="1" applyAlignment="1">
      <alignment/>
    </xf>
    <xf numFmtId="0" fontId="5" fillId="0" borderId="27" xfId="0" applyNumberFormat="1" applyFont="1" applyBorder="1" applyAlignment="1" applyProtection="1">
      <alignment/>
      <protection/>
    </xf>
    <xf numFmtId="0" fontId="0" fillId="0" borderId="27" xfId="0" applyBorder="1" applyAlignment="1">
      <alignment/>
    </xf>
    <xf numFmtId="0" fontId="5" fillId="0" borderId="22" xfId="0" applyNumberFormat="1" applyFont="1" applyBorder="1" applyAlignment="1" applyProtection="1">
      <alignment/>
      <protection/>
    </xf>
    <xf numFmtId="0" fontId="0" fillId="0" borderId="22" xfId="0" applyBorder="1" applyAlignment="1">
      <alignment/>
    </xf>
    <xf numFmtId="0" fontId="7" fillId="0" borderId="19" xfId="0" applyNumberFormat="1" applyFont="1" applyBorder="1" applyAlignment="1" applyProtection="1">
      <alignment/>
      <protection/>
    </xf>
    <xf numFmtId="0" fontId="0" fillId="0" borderId="19" xfId="0" applyBorder="1" applyAlignment="1" applyProtection="1">
      <alignment/>
      <protection/>
    </xf>
    <xf numFmtId="0" fontId="0" fillId="0" borderId="19" xfId="0" applyBorder="1" applyAlignment="1">
      <alignment/>
    </xf>
    <xf numFmtId="191" fontId="23" fillId="0" borderId="0" xfId="0" applyNumberFormat="1" applyFont="1" applyAlignment="1" applyProtection="1">
      <alignment horizontal="center"/>
      <protection/>
    </xf>
    <xf numFmtId="191" fontId="28" fillId="0" borderId="0" xfId="0" applyNumberFormat="1" applyFont="1" applyBorder="1" applyAlignment="1">
      <alignment horizontal="center"/>
    </xf>
    <xf numFmtId="0" fontId="5" fillId="0" borderId="0" xfId="0" applyNumberFormat="1" applyFont="1" applyBorder="1" applyAlignment="1" applyProtection="1">
      <alignment horizontal="right" wrapText="1"/>
      <protection/>
    </xf>
    <xf numFmtId="0" fontId="0" fillId="0" borderId="0" xfId="0" applyBorder="1" applyAlignment="1">
      <alignment horizontal="right" wrapText="1"/>
    </xf>
    <xf numFmtId="0" fontId="5" fillId="0" borderId="0" xfId="0" applyNumberFormat="1" applyFont="1" applyBorder="1" applyAlignment="1" applyProtection="1">
      <alignment horizontal="center" wrapText="1"/>
      <protection/>
    </xf>
    <xf numFmtId="0" fontId="0" fillId="0" borderId="0" xfId="0" applyBorder="1" applyAlignment="1">
      <alignment horizontal="center" wrapText="1"/>
    </xf>
    <xf numFmtId="0" fontId="9" fillId="0" borderId="0" xfId="0" applyNumberFormat="1" applyFont="1" applyBorder="1" applyAlignment="1" applyProtection="1">
      <alignment/>
      <protection/>
    </xf>
    <xf numFmtId="190" fontId="23" fillId="0" borderId="0" xfId="0" applyNumberFormat="1" applyFont="1" applyAlignment="1" applyProtection="1">
      <alignment horizontal="center"/>
      <protection/>
    </xf>
    <xf numFmtId="0" fontId="28" fillId="0" borderId="0" xfId="0" applyFont="1" applyBorder="1" applyAlignment="1">
      <alignment horizontal="center"/>
    </xf>
    <xf numFmtId="0" fontId="23" fillId="0" borderId="11" xfId="0" applyNumberFormat="1" applyFont="1" applyBorder="1" applyAlignment="1" applyProtection="1">
      <alignment horizontal="center" wrapText="1"/>
      <protection/>
    </xf>
    <xf numFmtId="0" fontId="28" fillId="0" borderId="11" xfId="0" applyFont="1" applyBorder="1" applyAlignment="1">
      <alignment horizontal="center" wrapText="1"/>
    </xf>
    <xf numFmtId="0" fontId="28" fillId="0" borderId="0" xfId="0" applyFont="1" applyBorder="1" applyAlignment="1">
      <alignment horizontal="center" wrapText="1"/>
    </xf>
    <xf numFmtId="0" fontId="38" fillId="33" borderId="54" xfId="0" applyNumberFormat="1" applyFont="1" applyFill="1" applyBorder="1" applyAlignment="1" applyProtection="1">
      <alignment horizontal="center"/>
      <protection/>
    </xf>
    <xf numFmtId="0" fontId="38" fillId="33" borderId="44" xfId="0" applyNumberFormat="1" applyFont="1" applyFill="1" applyBorder="1" applyAlignment="1" applyProtection="1">
      <alignment horizontal="center"/>
      <protection/>
    </xf>
    <xf numFmtId="0" fontId="38" fillId="33" borderId="66" xfId="0" applyNumberFormat="1" applyFont="1" applyFill="1" applyBorder="1" applyAlignment="1" applyProtection="1">
      <alignment horizontal="center"/>
      <protection/>
    </xf>
    <xf numFmtId="0" fontId="5" fillId="33" borderId="18" xfId="0" applyNumberFormat="1" applyFont="1" applyFill="1" applyBorder="1" applyAlignment="1" applyProtection="1">
      <alignment/>
      <protection/>
    </xf>
    <xf numFmtId="0" fontId="32" fillId="36" borderId="54" xfId="0" applyNumberFormat="1" applyFont="1" applyFill="1" applyBorder="1" applyAlignment="1" applyProtection="1">
      <alignment/>
      <protection hidden="1"/>
    </xf>
    <xf numFmtId="0" fontId="32" fillId="36" borderId="44" xfId="0" applyFont="1" applyFill="1" applyBorder="1" applyAlignment="1" applyProtection="1">
      <alignment/>
      <protection hidden="1"/>
    </xf>
    <xf numFmtId="0" fontId="32" fillId="36" borderId="66" xfId="0" applyFont="1" applyFill="1" applyBorder="1" applyAlignment="1" applyProtection="1">
      <alignment/>
      <protection hidden="1"/>
    </xf>
    <xf numFmtId="0" fontId="17" fillId="34" borderId="54" xfId="0" applyNumberFormat="1" applyFont="1" applyFill="1" applyBorder="1" applyAlignment="1" applyProtection="1">
      <alignment horizontal="left"/>
      <protection/>
    </xf>
    <xf numFmtId="0" fontId="17" fillId="34" borderId="44" xfId="0" applyNumberFormat="1" applyFont="1" applyFill="1" applyBorder="1" applyAlignment="1" applyProtection="1">
      <alignment horizontal="left"/>
      <protection/>
    </xf>
    <xf numFmtId="0" fontId="17" fillId="34" borderId="66" xfId="0" applyNumberFormat="1" applyFont="1" applyFill="1" applyBorder="1" applyAlignment="1" applyProtection="1">
      <alignment horizontal="left"/>
      <protection/>
    </xf>
    <xf numFmtId="0" fontId="10" fillId="37" borderId="60" xfId="0" applyNumberFormat="1" applyFont="1" applyFill="1" applyBorder="1" applyAlignment="1" applyProtection="1">
      <alignment vertical="center" wrapText="1"/>
      <protection hidden="1"/>
    </xf>
    <xf numFmtId="0" fontId="0" fillId="37" borderId="19" xfId="0" applyFill="1" applyBorder="1" applyAlignment="1" applyProtection="1">
      <alignment wrapText="1"/>
      <protection hidden="1"/>
    </xf>
    <xf numFmtId="0" fontId="0" fillId="37" borderId="91" xfId="0" applyFill="1" applyBorder="1" applyAlignment="1" applyProtection="1">
      <alignment wrapText="1"/>
      <protection hidden="1"/>
    </xf>
    <xf numFmtId="0" fontId="0" fillId="37" borderId="41" xfId="0" applyFill="1" applyBorder="1" applyAlignment="1" applyProtection="1">
      <alignment wrapText="1"/>
      <protection hidden="1"/>
    </xf>
    <xf numFmtId="0" fontId="0" fillId="37" borderId="0" xfId="0" applyFill="1" applyBorder="1" applyAlignment="1" applyProtection="1">
      <alignment wrapText="1"/>
      <protection hidden="1"/>
    </xf>
    <xf numFmtId="0" fontId="0" fillId="37" borderId="43" xfId="0" applyFill="1" applyBorder="1" applyAlignment="1" applyProtection="1">
      <alignment wrapText="1"/>
      <protection hidden="1"/>
    </xf>
    <xf numFmtId="0" fontId="0" fillId="37" borderId="42" xfId="0" applyFill="1" applyBorder="1" applyAlignment="1" applyProtection="1">
      <alignment wrapText="1"/>
      <protection hidden="1"/>
    </xf>
    <xf numFmtId="0" fontId="0" fillId="37" borderId="18" xfId="0" applyFill="1" applyBorder="1" applyAlignment="1" applyProtection="1">
      <alignment wrapText="1"/>
      <protection hidden="1"/>
    </xf>
    <xf numFmtId="0" fontId="0" fillId="37" borderId="29" xfId="0" applyFill="1" applyBorder="1" applyAlignment="1" applyProtection="1">
      <alignment wrapText="1"/>
      <protection hidden="1"/>
    </xf>
    <xf numFmtId="0" fontId="6" fillId="0" borderId="20" xfId="0" applyNumberFormat="1" applyFont="1" applyFill="1" applyBorder="1" applyAlignment="1" applyProtection="1">
      <alignment horizontal="right"/>
      <protection locked="0"/>
    </xf>
    <xf numFmtId="0" fontId="0" fillId="0" borderId="20" xfId="0" applyBorder="1" applyAlignment="1" applyProtection="1">
      <alignment/>
      <protection locked="0"/>
    </xf>
    <xf numFmtId="0" fontId="0" fillId="0" borderId="45" xfId="0" applyBorder="1" applyAlignment="1" applyProtection="1">
      <alignment/>
      <protection locked="0"/>
    </xf>
    <xf numFmtId="0" fontId="31" fillId="0" borderId="92" xfId="0" applyNumberFormat="1" applyFont="1" applyBorder="1" applyAlignment="1" applyProtection="1">
      <alignment horizontal="center" vertical="center" wrapText="1"/>
      <protection hidden="1"/>
    </xf>
    <xf numFmtId="0" fontId="10" fillId="0" borderId="11" xfId="0" applyNumberFormat="1" applyFont="1" applyBorder="1" applyAlignment="1" applyProtection="1">
      <alignment vertical="center" wrapText="1"/>
      <protection/>
    </xf>
    <xf numFmtId="0" fontId="21" fillId="0" borderId="11" xfId="0" applyFont="1" applyBorder="1" applyAlignment="1">
      <alignment vertical="center" wrapText="1"/>
    </xf>
    <xf numFmtId="0" fontId="21" fillId="0" borderId="0" xfId="0" applyFont="1" applyBorder="1" applyAlignment="1">
      <alignment vertical="center" wrapText="1"/>
    </xf>
    <xf numFmtId="0" fontId="31" fillId="34" borderId="0" xfId="0" applyNumberFormat="1" applyFont="1" applyFill="1" applyBorder="1" applyAlignment="1" applyProtection="1">
      <alignment horizontal="left"/>
      <protection/>
    </xf>
    <xf numFmtId="0" fontId="17" fillId="33" borderId="60" xfId="0" applyNumberFormat="1" applyFont="1" applyFill="1" applyBorder="1" applyAlignment="1" applyProtection="1">
      <alignment horizontal="center"/>
      <protection/>
    </xf>
    <xf numFmtId="0" fontId="17" fillId="33" borderId="19" xfId="0" applyNumberFormat="1" applyFont="1" applyFill="1" applyBorder="1" applyAlignment="1" applyProtection="1">
      <alignment horizontal="center"/>
      <protection/>
    </xf>
    <xf numFmtId="0" fontId="17" fillId="33" borderId="91" xfId="0" applyNumberFormat="1" applyFont="1" applyFill="1" applyBorder="1" applyAlignment="1" applyProtection="1">
      <alignment horizontal="center"/>
      <protection/>
    </xf>
    <xf numFmtId="0" fontId="17" fillId="33" borderId="41" xfId="0" applyNumberFormat="1" applyFont="1" applyFill="1" applyBorder="1" applyAlignment="1" applyProtection="1">
      <alignment horizontal="center"/>
      <protection/>
    </xf>
    <xf numFmtId="0" fontId="17" fillId="33" borderId="0" xfId="0" applyNumberFormat="1" applyFont="1" applyFill="1" applyBorder="1" applyAlignment="1" applyProtection="1">
      <alignment horizontal="center"/>
      <protection/>
    </xf>
    <xf numFmtId="0" fontId="17" fillId="33" borderId="43" xfId="0" applyNumberFormat="1" applyFont="1" applyFill="1" applyBorder="1" applyAlignment="1" applyProtection="1">
      <alignment horizontal="center"/>
      <protection/>
    </xf>
    <xf numFmtId="0" fontId="17" fillId="33" borderId="42" xfId="0" applyNumberFormat="1" applyFont="1" applyFill="1" applyBorder="1" applyAlignment="1" applyProtection="1">
      <alignment horizontal="center"/>
      <protection/>
    </xf>
    <xf numFmtId="0" fontId="17" fillId="33" borderId="18" xfId="0" applyNumberFormat="1" applyFont="1" applyFill="1" applyBorder="1" applyAlignment="1" applyProtection="1">
      <alignment horizontal="center"/>
      <protection/>
    </xf>
    <xf numFmtId="0" fontId="17" fillId="33" borderId="29"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wrapText="1"/>
      <protection/>
    </xf>
    <xf numFmtId="0" fontId="6" fillId="34" borderId="62" xfId="0" applyNumberFormat="1" applyFont="1" applyFill="1" applyBorder="1" applyAlignment="1" applyProtection="1">
      <alignment horizontal="center" vertical="center" wrapText="1"/>
      <protection locked="0"/>
    </xf>
    <xf numFmtId="0" fontId="6" fillId="34" borderId="34" xfId="0" applyNumberFormat="1" applyFont="1" applyFill="1" applyBorder="1" applyAlignment="1" applyProtection="1">
      <alignment horizontal="center" vertical="center" wrapText="1"/>
      <protection locked="0"/>
    </xf>
    <xf numFmtId="0" fontId="44" fillId="34" borderId="40" xfId="0" applyFont="1" applyFill="1" applyBorder="1" applyAlignment="1" applyProtection="1">
      <alignment horizontal="center" vertical="center" wrapText="1"/>
      <protection locked="0"/>
    </xf>
    <xf numFmtId="0" fontId="23" fillId="33" borderId="72" xfId="0" applyFont="1" applyFill="1" applyBorder="1" applyAlignment="1" applyProtection="1">
      <alignment horizontal="center" vertical="center" wrapText="1"/>
      <protection hidden="1"/>
    </xf>
    <xf numFmtId="0" fontId="23" fillId="33" borderId="32" xfId="0" applyFont="1" applyFill="1" applyBorder="1" applyAlignment="1" applyProtection="1">
      <alignment horizontal="center" vertical="center" wrapText="1"/>
      <protection hidden="1"/>
    </xf>
    <xf numFmtId="0" fontId="23" fillId="33" borderId="38" xfId="0" applyFont="1" applyFill="1" applyBorder="1" applyAlignment="1" applyProtection="1">
      <alignment horizontal="center" vertical="center" wrapText="1"/>
      <protection hidden="1"/>
    </xf>
    <xf numFmtId="0" fontId="6" fillId="34" borderId="61" xfId="0" applyNumberFormat="1" applyFont="1" applyFill="1" applyBorder="1" applyAlignment="1" applyProtection="1">
      <alignment horizontal="center" vertical="center" wrapText="1"/>
      <protection locked="0"/>
    </xf>
    <xf numFmtId="0" fontId="6" fillId="34" borderId="33" xfId="0" applyNumberFormat="1" applyFont="1" applyFill="1" applyBorder="1" applyAlignment="1" applyProtection="1">
      <alignment horizontal="center" vertical="center" wrapText="1"/>
      <protection locked="0"/>
    </xf>
    <xf numFmtId="0" fontId="44" fillId="34" borderId="39" xfId="0" applyFont="1" applyFill="1" applyBorder="1" applyAlignment="1" applyProtection="1">
      <alignment horizontal="center" vertical="center" wrapText="1"/>
      <protection locked="0"/>
    </xf>
    <xf numFmtId="0" fontId="23" fillId="33" borderId="61" xfId="0" applyNumberFormat="1" applyFont="1" applyFill="1" applyBorder="1" applyAlignment="1" applyProtection="1">
      <alignment horizontal="center" vertical="center" wrapText="1"/>
      <protection hidden="1"/>
    </xf>
    <xf numFmtId="0" fontId="23" fillId="33" borderId="33" xfId="0" applyNumberFormat="1" applyFont="1" applyFill="1" applyBorder="1" applyAlignment="1" applyProtection="1">
      <alignment horizontal="center" vertical="center" wrapText="1"/>
      <protection hidden="1"/>
    </xf>
    <xf numFmtId="0" fontId="28" fillId="33" borderId="39" xfId="0" applyFont="1" applyFill="1" applyBorder="1" applyAlignment="1" applyProtection="1">
      <alignment horizontal="center" vertical="center" wrapText="1"/>
      <protection hidden="1"/>
    </xf>
    <xf numFmtId="0" fontId="5" fillId="0" borderId="35" xfId="0" applyNumberFormat="1" applyFont="1" applyBorder="1" applyAlignment="1" applyProtection="1">
      <alignment/>
      <protection/>
    </xf>
    <xf numFmtId="0" fontId="5" fillId="34" borderId="21" xfId="0" applyNumberFormat="1" applyFont="1" applyFill="1" applyBorder="1" applyAlignment="1" applyProtection="1">
      <alignment/>
      <protection/>
    </xf>
    <xf numFmtId="0" fontId="4" fillId="36" borderId="54" xfId="0" applyNumberFormat="1" applyFont="1" applyFill="1" applyBorder="1" applyAlignment="1" applyProtection="1">
      <alignment horizontal="center"/>
      <protection hidden="1"/>
    </xf>
    <xf numFmtId="0" fontId="4" fillId="36" borderId="44" xfId="0" applyNumberFormat="1" applyFont="1" applyFill="1" applyBorder="1" applyAlignment="1" applyProtection="1">
      <alignment horizontal="center"/>
      <protection hidden="1"/>
    </xf>
    <xf numFmtId="0" fontId="4" fillId="36" borderId="66" xfId="0" applyNumberFormat="1" applyFont="1" applyFill="1" applyBorder="1" applyAlignment="1" applyProtection="1">
      <alignment horizontal="center"/>
      <protection hidden="1"/>
    </xf>
    <xf numFmtId="0" fontId="13" fillId="33" borderId="72" xfId="0" applyNumberFormat="1" applyFont="1" applyFill="1" applyBorder="1" applyAlignment="1" applyProtection="1">
      <alignment horizontal="center" vertical="center" wrapText="1"/>
      <protection hidden="1"/>
    </xf>
    <xf numFmtId="0" fontId="13" fillId="33" borderId="32" xfId="0" applyNumberFormat="1" applyFont="1" applyFill="1" applyBorder="1" applyAlignment="1" applyProtection="1">
      <alignment horizontal="center" vertical="center" wrapText="1"/>
      <protection hidden="1"/>
    </xf>
    <xf numFmtId="0" fontId="14" fillId="33" borderId="38" xfId="0" applyFont="1" applyFill="1" applyBorder="1" applyAlignment="1" applyProtection="1">
      <alignment horizontal="center" vertical="center" wrapText="1"/>
      <protection hidden="1"/>
    </xf>
    <xf numFmtId="0" fontId="13" fillId="33" borderId="61" xfId="0" applyNumberFormat="1" applyFont="1" applyFill="1" applyBorder="1" applyAlignment="1" applyProtection="1">
      <alignment horizontal="center" vertical="center" wrapText="1"/>
      <protection hidden="1"/>
    </xf>
    <xf numFmtId="0" fontId="13" fillId="33" borderId="33" xfId="0" applyNumberFormat="1" applyFont="1" applyFill="1" applyBorder="1" applyAlignment="1" applyProtection="1">
      <alignment horizontal="center" vertical="center" wrapText="1"/>
      <protection hidden="1"/>
    </xf>
    <xf numFmtId="0" fontId="14" fillId="33" borderId="39" xfId="0" applyFont="1" applyFill="1" applyBorder="1" applyAlignment="1" applyProtection="1">
      <alignment horizontal="center" vertical="center" wrapText="1"/>
      <protection hidden="1"/>
    </xf>
    <xf numFmtId="0" fontId="23" fillId="33" borderId="72" xfId="0" applyNumberFormat="1" applyFont="1" applyFill="1" applyBorder="1" applyAlignment="1" applyProtection="1">
      <alignment horizontal="center" vertical="center" wrapText="1"/>
      <protection hidden="1"/>
    </xf>
    <xf numFmtId="0" fontId="23" fillId="33" borderId="32" xfId="0" applyNumberFormat="1" applyFont="1" applyFill="1" applyBorder="1" applyAlignment="1" applyProtection="1">
      <alignment horizontal="center" vertical="center" wrapText="1"/>
      <protection hidden="1"/>
    </xf>
    <xf numFmtId="0" fontId="28" fillId="33" borderId="38" xfId="0" applyFont="1" applyFill="1" applyBorder="1" applyAlignment="1" applyProtection="1">
      <alignment horizontal="center" vertical="center" wrapText="1"/>
      <protection hidden="1"/>
    </xf>
    <xf numFmtId="0" fontId="13" fillId="33" borderId="60" xfId="0" applyNumberFormat="1" applyFont="1" applyFill="1" applyBorder="1" applyAlignment="1" applyProtection="1">
      <alignment horizontal="left" vertical="center"/>
      <protection/>
    </xf>
    <xf numFmtId="0" fontId="13" fillId="33" borderId="19" xfId="0" applyNumberFormat="1" applyFont="1" applyFill="1" applyBorder="1" applyAlignment="1" applyProtection="1">
      <alignment horizontal="left" vertical="center"/>
      <protection/>
    </xf>
    <xf numFmtId="0" fontId="13" fillId="33" borderId="91" xfId="0" applyNumberFormat="1" applyFont="1" applyFill="1" applyBorder="1" applyAlignment="1" applyProtection="1">
      <alignment horizontal="left" vertical="center"/>
      <protection/>
    </xf>
    <xf numFmtId="0" fontId="13" fillId="33" borderId="41" xfId="0" applyNumberFormat="1" applyFont="1" applyFill="1" applyBorder="1" applyAlignment="1" applyProtection="1">
      <alignment horizontal="left" vertical="center"/>
      <protection/>
    </xf>
    <xf numFmtId="0" fontId="13" fillId="33" borderId="0" xfId="0" applyNumberFormat="1" applyFont="1" applyFill="1" applyBorder="1" applyAlignment="1" applyProtection="1">
      <alignment horizontal="left" vertical="center"/>
      <protection/>
    </xf>
    <xf numFmtId="0" fontId="13" fillId="33" borderId="43" xfId="0" applyNumberFormat="1" applyFont="1" applyFill="1" applyBorder="1" applyAlignment="1" applyProtection="1">
      <alignment horizontal="left" vertical="center"/>
      <protection/>
    </xf>
    <xf numFmtId="0" fontId="13" fillId="33" borderId="42" xfId="0" applyNumberFormat="1" applyFont="1" applyFill="1" applyBorder="1" applyAlignment="1" applyProtection="1">
      <alignment horizontal="left" vertical="center"/>
      <protection/>
    </xf>
    <xf numFmtId="0" fontId="13" fillId="33" borderId="18" xfId="0" applyNumberFormat="1" applyFont="1" applyFill="1" applyBorder="1" applyAlignment="1" applyProtection="1">
      <alignment horizontal="left" vertical="center"/>
      <protection/>
    </xf>
    <xf numFmtId="0" fontId="13" fillId="33" borderId="29" xfId="0" applyNumberFormat="1" applyFont="1" applyFill="1" applyBorder="1" applyAlignment="1" applyProtection="1">
      <alignment horizontal="left" vertical="center"/>
      <protection/>
    </xf>
    <xf numFmtId="0" fontId="31" fillId="36" borderId="54" xfId="0" applyNumberFormat="1" applyFont="1" applyFill="1" applyBorder="1" applyAlignment="1" applyProtection="1">
      <alignment horizontal="center"/>
      <protection hidden="1"/>
    </xf>
    <xf numFmtId="0" fontId="31" fillId="36" borderId="44" xfId="0" applyNumberFormat="1" applyFont="1" applyFill="1" applyBorder="1" applyAlignment="1" applyProtection="1">
      <alignment horizontal="center"/>
      <protection hidden="1"/>
    </xf>
    <xf numFmtId="0" fontId="31" fillId="36" borderId="66" xfId="0" applyNumberFormat="1" applyFont="1" applyFill="1" applyBorder="1" applyAlignment="1" applyProtection="1">
      <alignment horizontal="center"/>
      <protection hidden="1"/>
    </xf>
    <xf numFmtId="0" fontId="4" fillId="36" borderId="54" xfId="0" applyNumberFormat="1" applyFont="1" applyFill="1" applyBorder="1" applyAlignment="1" applyProtection="1">
      <alignment horizontal="center"/>
      <protection/>
    </xf>
    <xf numFmtId="0" fontId="4" fillId="36" borderId="44" xfId="0" applyNumberFormat="1" applyFont="1" applyFill="1" applyBorder="1" applyAlignment="1" applyProtection="1">
      <alignment horizontal="center"/>
      <protection/>
    </xf>
    <xf numFmtId="0" fontId="4" fillId="36" borderId="66" xfId="0" applyNumberFormat="1" applyFont="1" applyFill="1" applyBorder="1" applyAlignment="1" applyProtection="1">
      <alignment horizontal="center"/>
      <protection/>
    </xf>
    <xf numFmtId="0" fontId="14" fillId="33" borderId="60" xfId="0" applyNumberFormat="1" applyFont="1" applyFill="1" applyBorder="1" applyAlignment="1" applyProtection="1">
      <alignment horizontal="center" vertical="center"/>
      <protection/>
    </xf>
    <xf numFmtId="0" fontId="14" fillId="33" borderId="19" xfId="0" applyNumberFormat="1" applyFont="1" applyFill="1" applyBorder="1" applyAlignment="1" applyProtection="1">
      <alignment horizontal="center" vertical="center"/>
      <protection/>
    </xf>
    <xf numFmtId="0" fontId="14" fillId="33" borderId="91" xfId="0" applyNumberFormat="1" applyFont="1" applyFill="1" applyBorder="1" applyAlignment="1" applyProtection="1">
      <alignment horizontal="center" vertical="center"/>
      <protection/>
    </xf>
    <xf numFmtId="0" fontId="14" fillId="33" borderId="41" xfId="0" applyNumberFormat="1" applyFont="1" applyFill="1" applyBorder="1" applyAlignment="1" applyProtection="1">
      <alignment horizontal="center" vertical="center"/>
      <protection/>
    </xf>
    <xf numFmtId="0" fontId="14" fillId="33" borderId="0" xfId="0" applyNumberFormat="1" applyFont="1" applyFill="1" applyBorder="1" applyAlignment="1" applyProtection="1">
      <alignment horizontal="center" vertical="center"/>
      <protection/>
    </xf>
    <xf numFmtId="0" fontId="14" fillId="33" borderId="43" xfId="0" applyNumberFormat="1" applyFont="1" applyFill="1" applyBorder="1" applyAlignment="1" applyProtection="1">
      <alignment horizontal="center" vertical="center"/>
      <protection/>
    </xf>
    <xf numFmtId="0" fontId="14" fillId="33" borderId="42" xfId="0" applyNumberFormat="1" applyFont="1" applyFill="1" applyBorder="1" applyAlignment="1" applyProtection="1">
      <alignment horizontal="center" vertical="center"/>
      <protection/>
    </xf>
    <xf numFmtId="0" fontId="14" fillId="33" borderId="18" xfId="0" applyNumberFormat="1" applyFont="1" applyFill="1" applyBorder="1" applyAlignment="1" applyProtection="1">
      <alignment horizontal="center" vertical="center"/>
      <protection/>
    </xf>
    <xf numFmtId="0" fontId="14" fillId="33" borderId="29" xfId="0" applyNumberFormat="1" applyFont="1" applyFill="1" applyBorder="1" applyAlignment="1" applyProtection="1">
      <alignment horizontal="center" vertical="center"/>
      <protection/>
    </xf>
    <xf numFmtId="0" fontId="5" fillId="33" borderId="54" xfId="0" applyNumberFormat="1" applyFont="1" applyFill="1" applyBorder="1" applyAlignment="1" applyProtection="1">
      <alignment horizontal="center"/>
      <protection hidden="1"/>
    </xf>
    <xf numFmtId="0" fontId="5" fillId="33" borderId="44" xfId="0" applyNumberFormat="1" applyFont="1" applyFill="1" applyBorder="1" applyAlignment="1" applyProtection="1">
      <alignment horizontal="center"/>
      <protection hidden="1"/>
    </xf>
    <xf numFmtId="0" fontId="5" fillId="33" borderId="66" xfId="0" applyNumberFormat="1" applyFont="1" applyFill="1" applyBorder="1" applyAlignment="1" applyProtection="1">
      <alignment horizontal="center"/>
      <protection hidden="1"/>
    </xf>
    <xf numFmtId="0" fontId="13" fillId="33" borderId="62" xfId="0" applyNumberFormat="1" applyFont="1" applyFill="1" applyBorder="1" applyAlignment="1" applyProtection="1">
      <alignment horizontal="center" vertical="center" wrapText="1"/>
      <protection hidden="1"/>
    </xf>
    <xf numFmtId="0" fontId="13" fillId="33" borderId="34" xfId="0" applyNumberFormat="1" applyFont="1" applyFill="1" applyBorder="1" applyAlignment="1" applyProtection="1">
      <alignment horizontal="center" vertical="center" wrapText="1"/>
      <protection hidden="1"/>
    </xf>
    <xf numFmtId="0" fontId="14" fillId="33" borderId="40" xfId="0" applyFont="1" applyFill="1" applyBorder="1" applyAlignment="1" applyProtection="1">
      <alignment horizontal="center" vertical="center" wrapText="1"/>
      <protection hidden="1"/>
    </xf>
    <xf numFmtId="0" fontId="23" fillId="33" borderId="62" xfId="0" applyNumberFormat="1" applyFont="1" applyFill="1" applyBorder="1" applyAlignment="1" applyProtection="1">
      <alignment horizontal="center" vertical="center" wrapText="1"/>
      <protection hidden="1"/>
    </xf>
    <xf numFmtId="0" fontId="23" fillId="33" borderId="34" xfId="0" applyNumberFormat="1" applyFont="1" applyFill="1" applyBorder="1" applyAlignment="1" applyProtection="1">
      <alignment horizontal="center" vertical="center" wrapText="1"/>
      <protection hidden="1"/>
    </xf>
    <xf numFmtId="0" fontId="28" fillId="33" borderId="40" xfId="0" applyFont="1" applyFill="1" applyBorder="1" applyAlignment="1" applyProtection="1">
      <alignment horizontal="center" vertical="center" wrapText="1"/>
      <protection hidden="1"/>
    </xf>
    <xf numFmtId="0" fontId="17" fillId="0" borderId="54" xfId="0" applyNumberFormat="1" applyFont="1" applyBorder="1" applyAlignment="1" applyProtection="1">
      <alignment horizontal="center"/>
      <protection hidden="1"/>
    </xf>
    <xf numFmtId="0" fontId="17" fillId="0" borderId="44" xfId="0" applyNumberFormat="1" applyFont="1" applyBorder="1" applyAlignment="1" applyProtection="1">
      <alignment horizontal="center"/>
      <protection hidden="1"/>
    </xf>
    <xf numFmtId="0" fontId="17" fillId="0" borderId="66" xfId="0" applyNumberFormat="1" applyFont="1" applyBorder="1" applyAlignment="1" applyProtection="1">
      <alignment horizontal="center"/>
      <protection hidden="1"/>
    </xf>
    <xf numFmtId="0" fontId="5" fillId="34" borderId="54" xfId="0" applyNumberFormat="1" applyFont="1" applyFill="1" applyBorder="1" applyAlignment="1" applyProtection="1">
      <alignment horizontal="right" vertical="center"/>
      <protection hidden="1"/>
    </xf>
    <xf numFmtId="0" fontId="5" fillId="34" borderId="66" xfId="0" applyNumberFormat="1" applyFont="1" applyFill="1" applyBorder="1" applyAlignment="1" applyProtection="1">
      <alignment horizontal="right" vertical="center"/>
      <protection hidden="1"/>
    </xf>
    <xf numFmtId="0" fontId="5" fillId="0" borderId="27" xfId="0" applyNumberFormat="1" applyFont="1" applyBorder="1" applyAlignment="1" applyProtection="1">
      <alignment horizontal="left" vertical="center"/>
      <protection/>
    </xf>
    <xf numFmtId="0" fontId="5" fillId="0" borderId="18" xfId="0" applyNumberFormat="1" applyFont="1" applyBorder="1" applyAlignment="1" applyProtection="1">
      <alignment horizontal="left" vertical="center"/>
      <protection/>
    </xf>
    <xf numFmtId="0" fontId="42" fillId="0" borderId="20" xfId="0" applyNumberFormat="1" applyFont="1" applyFill="1" applyBorder="1" applyAlignment="1" applyProtection="1">
      <alignment horizontal="left" vertical="center"/>
      <protection/>
    </xf>
    <xf numFmtId="0" fontId="13" fillId="33" borderId="52" xfId="0" applyNumberFormat="1" applyFont="1" applyFill="1" applyBorder="1" applyAlignment="1" applyProtection="1">
      <alignment horizontal="center" vertical="center" wrapText="1"/>
      <protection/>
    </xf>
    <xf numFmtId="0" fontId="13" fillId="33" borderId="47" xfId="0" applyNumberFormat="1" applyFont="1" applyFill="1" applyBorder="1" applyAlignment="1" applyProtection="1">
      <alignment horizontal="center" vertical="center" wrapText="1"/>
      <protection/>
    </xf>
    <xf numFmtId="0" fontId="13" fillId="33" borderId="72" xfId="0" applyNumberFormat="1" applyFont="1" applyFill="1" applyBorder="1" applyAlignment="1" applyProtection="1">
      <alignment horizontal="center" vertical="center" wrapText="1"/>
      <protection/>
    </xf>
    <xf numFmtId="0" fontId="13" fillId="33" borderId="62" xfId="0" applyNumberFormat="1" applyFont="1" applyFill="1" applyBorder="1" applyAlignment="1" applyProtection="1">
      <alignment horizontal="center" vertical="center" wrapText="1"/>
      <protection/>
    </xf>
    <xf numFmtId="0" fontId="13" fillId="33" borderId="32" xfId="0" applyNumberFormat="1" applyFont="1" applyFill="1" applyBorder="1" applyAlignment="1" applyProtection="1">
      <alignment horizontal="center" vertical="center" wrapText="1"/>
      <protection/>
    </xf>
    <xf numFmtId="0" fontId="13" fillId="33" borderId="34" xfId="0" applyNumberFormat="1" applyFont="1" applyFill="1" applyBorder="1" applyAlignment="1" applyProtection="1">
      <alignment horizontal="center" vertical="center" wrapText="1"/>
      <protection/>
    </xf>
    <xf numFmtId="0" fontId="4" fillId="39" borderId="54" xfId="0" applyNumberFormat="1" applyFont="1" applyFill="1" applyBorder="1" applyAlignment="1" applyProtection="1">
      <alignment horizontal="center"/>
      <protection/>
    </xf>
    <xf numFmtId="0" fontId="4" fillId="39" borderId="66" xfId="0" applyNumberFormat="1" applyFont="1" applyFill="1" applyBorder="1" applyAlignment="1" applyProtection="1">
      <alignment horizontal="center"/>
      <protection/>
    </xf>
    <xf numFmtId="0" fontId="4" fillId="36" borderId="10" xfId="0" applyFont="1" applyFill="1" applyBorder="1" applyAlignment="1" applyProtection="1">
      <alignment horizontal="center" vertical="center"/>
      <protection/>
    </xf>
    <xf numFmtId="0" fontId="4" fillId="36" borderId="11" xfId="0" applyFont="1" applyFill="1" applyBorder="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5"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6" borderId="17" xfId="0" applyFont="1" applyFill="1" applyBorder="1" applyAlignment="1" applyProtection="1">
      <alignment horizontal="center" vertical="center"/>
      <protection/>
    </xf>
    <xf numFmtId="0" fontId="14" fillId="33" borderId="10" xfId="0" applyFont="1" applyFill="1" applyBorder="1" applyAlignment="1" applyProtection="1">
      <alignment horizontal="center"/>
      <protection/>
    </xf>
    <xf numFmtId="0" fontId="14" fillId="33" borderId="11" xfId="0" applyFont="1" applyFill="1" applyBorder="1" applyAlignment="1" applyProtection="1">
      <alignment horizontal="center"/>
      <protection/>
    </xf>
    <xf numFmtId="0" fontId="14" fillId="33" borderId="12"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5" fillId="36" borderId="93" xfId="0" applyFont="1" applyFill="1" applyBorder="1" applyAlignment="1" applyProtection="1">
      <alignment horizontal="right"/>
      <protection/>
    </xf>
    <xf numFmtId="0" fontId="5" fillId="36" borderId="94" xfId="0" applyFont="1" applyFill="1" applyBorder="1" applyAlignment="1" applyProtection="1">
      <alignment horizontal="right"/>
      <protection/>
    </xf>
    <xf numFmtId="0" fontId="5" fillId="37" borderId="11" xfId="0" applyNumberFormat="1" applyFont="1" applyFill="1" applyBorder="1" applyAlignment="1" applyProtection="1">
      <alignment horizontal="center" wrapText="1"/>
      <protection locked="0"/>
    </xf>
    <xf numFmtId="0" fontId="0" fillId="37" borderId="18" xfId="0" applyFill="1" applyBorder="1" applyAlignment="1" applyProtection="1">
      <alignment horizontal="center" wrapText="1"/>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Arial"/>
                <a:ea typeface="Arial"/>
                <a:cs typeface="Arial"/>
              </a:rPr>
              <a:t>Cost Comparison of Alternative Supplement Programs</a:t>
            </a:r>
          </a:p>
        </c:rich>
      </c:tx>
      <c:layout>
        <c:manualLayout>
          <c:xMode val="factor"/>
          <c:yMode val="factor"/>
          <c:x val="0.01475"/>
          <c:y val="0"/>
        </c:manualLayout>
      </c:layout>
      <c:spPr>
        <a:noFill/>
        <a:ln>
          <a:noFill/>
        </a:ln>
      </c:spPr>
    </c:title>
    <c:plotArea>
      <c:layout>
        <c:manualLayout>
          <c:xMode val="edge"/>
          <c:yMode val="edge"/>
          <c:x val="0.062"/>
          <c:y val="0.13925"/>
          <c:w val="0.87675"/>
          <c:h val="0.777"/>
        </c:manualLayout>
      </c:layout>
      <c:barChart>
        <c:barDir val="col"/>
        <c:grouping val="stacked"/>
        <c:varyColors val="0"/>
        <c:ser>
          <c:idx val="0"/>
          <c:order val="0"/>
          <c:tx>
            <c:v>Supplement cost</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'Supplement program comparisons'!$H$16:$L$18</c:f>
              <c:multiLvlStrCache/>
            </c:multiLvlStrRef>
          </c:cat>
          <c:val>
            <c:numRef>
              <c:f>'Supplement program comparisons'!$H$36:$L$36</c:f>
              <c:numCache/>
            </c:numRef>
          </c:val>
        </c:ser>
        <c:ser>
          <c:idx val="1"/>
          <c:order val="1"/>
          <c:tx>
            <c:v>Labor and equipment cost</c:v>
          </c:tx>
          <c:spPr>
            <a:pattFill prst="pct25">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'Supplement program comparisons'!$H$16:$L$18</c:f>
              <c:multiLvlStrCache/>
            </c:multiLvlStrRef>
          </c:cat>
          <c:val>
            <c:numRef>
              <c:f>'Supplement program comparisons'!$H$43:$L$43</c:f>
              <c:numCache/>
            </c:numRef>
          </c:val>
        </c:ser>
        <c:overlap val="100"/>
        <c:axId val="947479"/>
        <c:axId val="8527312"/>
      </c:barChart>
      <c:catAx>
        <c:axId val="94747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Supplement Program</a:t>
                </a:r>
              </a:p>
            </c:rich>
          </c:tx>
          <c:layout>
            <c:manualLayout>
              <c:xMode val="factor"/>
              <c:yMode val="factor"/>
              <c:x val="-0.0247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8527312"/>
        <c:crosses val="autoZero"/>
        <c:auto val="1"/>
        <c:lblOffset val="100"/>
        <c:tickLblSkip val="1"/>
        <c:noMultiLvlLbl val="0"/>
      </c:catAx>
      <c:valAx>
        <c:axId val="852731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Total cost for feeding period, $/head</a:t>
                </a:r>
              </a:p>
            </c:rich>
          </c:tx>
          <c:layout>
            <c:manualLayout>
              <c:xMode val="factor"/>
              <c:yMode val="factor"/>
              <c:x val="-0.014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947479"/>
        <c:crossesAt val="1"/>
        <c:crossBetween val="between"/>
        <c:dispUnits/>
      </c:valAx>
      <c:spPr>
        <a:noFill/>
        <a:ln w="25400">
          <a:solidFill>
            <a:srgbClr val="000000"/>
          </a:solidFill>
        </a:ln>
      </c:spPr>
    </c:plotArea>
    <c:legend>
      <c:legendPos val="b"/>
      <c:layout>
        <c:manualLayout>
          <c:xMode val="edge"/>
          <c:yMode val="edge"/>
          <c:x val="0.13125"/>
          <c:y val="0.08875"/>
          <c:w val="0.6505"/>
          <c:h val="0.0535"/>
        </c:manualLayout>
      </c:layout>
      <c:overlay val="0"/>
      <c:spPr>
        <a:solidFill>
          <a:srgbClr val="FFFFFF"/>
        </a:solidFill>
        <a:ln w="3175">
          <a:noFill/>
        </a:ln>
      </c:spPr>
      <c:txPr>
        <a:bodyPr vert="horz" rot="0"/>
        <a:lstStyle/>
        <a:p>
          <a:pPr>
            <a:defRPr lang="en-US" cap="none" sz="1010" b="1"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9.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6.emf"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5.emf" /><Relationship Id="rId6"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xdr:rowOff>
    </xdr:from>
    <xdr:to>
      <xdr:col>4</xdr:col>
      <xdr:colOff>409575</xdr:colOff>
      <xdr:row>5</xdr:row>
      <xdr:rowOff>47625</xdr:rowOff>
    </xdr:to>
    <xdr:pic>
      <xdr:nvPicPr>
        <xdr:cNvPr id="1" name="Picture 11"/>
        <xdr:cNvPicPr preferRelativeResize="1">
          <a:picLocks noChangeAspect="1"/>
        </xdr:cNvPicPr>
      </xdr:nvPicPr>
      <xdr:blipFill>
        <a:blip r:embed="rId1"/>
        <a:stretch>
          <a:fillRect/>
        </a:stretch>
      </xdr:blipFill>
      <xdr:spPr>
        <a:xfrm>
          <a:off x="1152525" y="238125"/>
          <a:ext cx="1714500" cy="828675"/>
        </a:xfrm>
        <a:prstGeom prst="rect">
          <a:avLst/>
        </a:prstGeom>
        <a:noFill/>
        <a:ln w="9525" cmpd="sng">
          <a:solidFill>
            <a:srgbClr val="000000"/>
          </a:solidFill>
          <a:headEnd type="none"/>
          <a:tailEnd type="none"/>
        </a:ln>
      </xdr:spPr>
    </xdr:pic>
    <xdr:clientData/>
  </xdr:twoCellAnchor>
  <xdr:twoCellAnchor editAs="oneCell">
    <xdr:from>
      <xdr:col>9</xdr:col>
      <xdr:colOff>276225</xdr:colOff>
      <xdr:row>27</xdr:row>
      <xdr:rowOff>28575</xdr:rowOff>
    </xdr:from>
    <xdr:to>
      <xdr:col>12</xdr:col>
      <xdr:colOff>361950</xdr:colOff>
      <xdr:row>30</xdr:row>
      <xdr:rowOff>190500</xdr:rowOff>
    </xdr:to>
    <xdr:pic>
      <xdr:nvPicPr>
        <xdr:cNvPr id="2" name="Picture 13"/>
        <xdr:cNvPicPr preferRelativeResize="1">
          <a:picLocks noChangeAspect="1"/>
        </xdr:cNvPicPr>
      </xdr:nvPicPr>
      <xdr:blipFill>
        <a:blip r:embed="rId2"/>
        <a:stretch>
          <a:fillRect/>
        </a:stretch>
      </xdr:blipFill>
      <xdr:spPr>
        <a:xfrm>
          <a:off x="6362700" y="5200650"/>
          <a:ext cx="2314575" cy="7143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9525</xdr:colOff>
      <xdr:row>23</xdr:row>
      <xdr:rowOff>180975</xdr:rowOff>
    </xdr:from>
    <xdr:to>
      <xdr:col>11</xdr:col>
      <xdr:colOff>28575</xdr:colOff>
      <xdr:row>25</xdr:row>
      <xdr:rowOff>190500</xdr:rowOff>
    </xdr:to>
    <xdr:pic>
      <xdr:nvPicPr>
        <xdr:cNvPr id="1" name="Button6"/>
        <xdr:cNvPicPr preferRelativeResize="1">
          <a:picLocks noChangeAspect="1"/>
        </xdr:cNvPicPr>
      </xdr:nvPicPr>
      <xdr:blipFill>
        <a:blip r:embed="rId1"/>
        <a:stretch>
          <a:fillRect/>
        </a:stretch>
      </xdr:blipFill>
      <xdr:spPr>
        <a:xfrm>
          <a:off x="6324600" y="4857750"/>
          <a:ext cx="847725" cy="428625"/>
        </a:xfrm>
        <a:prstGeom prst="rect">
          <a:avLst/>
        </a:prstGeom>
        <a:noFill/>
        <a:ln w="9525" cmpd="sng">
          <a:noFill/>
        </a:ln>
      </xdr:spPr>
    </xdr:pic>
    <xdr:clientData/>
  </xdr:twoCellAnchor>
  <xdr:twoCellAnchor editAs="oneCell">
    <xdr:from>
      <xdr:col>9</xdr:col>
      <xdr:colOff>590550</xdr:colOff>
      <xdr:row>1</xdr:row>
      <xdr:rowOff>142875</xdr:rowOff>
    </xdr:from>
    <xdr:to>
      <xdr:col>11</xdr:col>
      <xdr:colOff>38100</xdr:colOff>
      <xdr:row>4</xdr:row>
      <xdr:rowOff>66675</xdr:rowOff>
    </xdr:to>
    <xdr:pic>
      <xdr:nvPicPr>
        <xdr:cNvPr id="2" name="Picture 76"/>
        <xdr:cNvPicPr preferRelativeResize="1">
          <a:picLocks noChangeAspect="1"/>
        </xdr:cNvPicPr>
      </xdr:nvPicPr>
      <xdr:blipFill>
        <a:blip r:embed="rId2"/>
        <a:stretch>
          <a:fillRect/>
        </a:stretch>
      </xdr:blipFill>
      <xdr:spPr>
        <a:xfrm>
          <a:off x="6076950" y="352425"/>
          <a:ext cx="1104900" cy="552450"/>
        </a:xfrm>
        <a:prstGeom prst="rect">
          <a:avLst/>
        </a:prstGeom>
        <a:noFill/>
        <a:ln w="9525" cmpd="sng">
          <a:noFill/>
        </a:ln>
      </xdr:spPr>
    </xdr:pic>
    <xdr:clientData/>
  </xdr:twoCellAnchor>
  <xdr:twoCellAnchor editAs="oneCell">
    <xdr:from>
      <xdr:col>9</xdr:col>
      <xdr:colOff>200025</xdr:colOff>
      <xdr:row>59</xdr:row>
      <xdr:rowOff>57150</xdr:rowOff>
    </xdr:from>
    <xdr:to>
      <xdr:col>11</xdr:col>
      <xdr:colOff>76200</xdr:colOff>
      <xdr:row>61</xdr:row>
      <xdr:rowOff>95250</xdr:rowOff>
    </xdr:to>
    <xdr:pic>
      <xdr:nvPicPr>
        <xdr:cNvPr id="3" name="Picture 79"/>
        <xdr:cNvPicPr preferRelativeResize="1">
          <a:picLocks noChangeAspect="1"/>
        </xdr:cNvPicPr>
      </xdr:nvPicPr>
      <xdr:blipFill>
        <a:blip r:embed="rId2"/>
        <a:stretch>
          <a:fillRect/>
        </a:stretch>
      </xdr:blipFill>
      <xdr:spPr>
        <a:xfrm>
          <a:off x="5686425" y="11725275"/>
          <a:ext cx="1533525" cy="752475"/>
        </a:xfrm>
        <a:prstGeom prst="rect">
          <a:avLst/>
        </a:prstGeom>
        <a:noFill/>
        <a:ln w="9525" cmpd="sng">
          <a:noFill/>
        </a:ln>
      </xdr:spPr>
    </xdr:pic>
    <xdr:clientData/>
  </xdr:twoCellAnchor>
  <xdr:twoCellAnchor>
    <xdr:from>
      <xdr:col>9</xdr:col>
      <xdr:colOff>95250</xdr:colOff>
      <xdr:row>24</xdr:row>
      <xdr:rowOff>114300</xdr:rowOff>
    </xdr:from>
    <xdr:to>
      <xdr:col>9</xdr:col>
      <xdr:colOff>752475</xdr:colOff>
      <xdr:row>24</xdr:row>
      <xdr:rowOff>114300</xdr:rowOff>
    </xdr:to>
    <xdr:sp>
      <xdr:nvSpPr>
        <xdr:cNvPr id="4" name="Line 82"/>
        <xdr:cNvSpPr>
          <a:spLocks/>
        </xdr:cNvSpPr>
      </xdr:nvSpPr>
      <xdr:spPr>
        <a:xfrm>
          <a:off x="5581650" y="5000625"/>
          <a:ext cx="657225" cy="0"/>
        </a:xfrm>
        <a:prstGeom prst="line">
          <a:avLst/>
        </a:prstGeom>
        <a:noFill/>
        <a:ln w="222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xdr:row>
      <xdr:rowOff>104775</xdr:rowOff>
    </xdr:from>
    <xdr:to>
      <xdr:col>10</xdr:col>
      <xdr:colOff>819150</xdr:colOff>
      <xdr:row>4</xdr:row>
      <xdr:rowOff>104775</xdr:rowOff>
    </xdr:to>
    <xdr:sp>
      <xdr:nvSpPr>
        <xdr:cNvPr id="5" name="Line 84"/>
        <xdr:cNvSpPr>
          <a:spLocks/>
        </xdr:cNvSpPr>
      </xdr:nvSpPr>
      <xdr:spPr>
        <a:xfrm>
          <a:off x="895350" y="942975"/>
          <a:ext cx="62388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285750</xdr:colOff>
      <xdr:row>9</xdr:row>
      <xdr:rowOff>0</xdr:rowOff>
    </xdr:from>
    <xdr:to>
      <xdr:col>9</xdr:col>
      <xdr:colOff>809625</xdr:colOff>
      <xdr:row>11</xdr:row>
      <xdr:rowOff>0</xdr:rowOff>
    </xdr:to>
    <xdr:pic>
      <xdr:nvPicPr>
        <xdr:cNvPr id="6" name="ComboBox1"/>
        <xdr:cNvPicPr preferRelativeResize="1">
          <a:picLocks noChangeAspect="1"/>
        </xdr:cNvPicPr>
      </xdr:nvPicPr>
      <xdr:blipFill>
        <a:blip r:embed="rId3"/>
        <a:stretch>
          <a:fillRect/>
        </a:stretch>
      </xdr:blipFill>
      <xdr:spPr>
        <a:xfrm>
          <a:off x="4114800" y="1885950"/>
          <a:ext cx="2181225" cy="276225"/>
        </a:xfrm>
        <a:prstGeom prst="rect">
          <a:avLst/>
        </a:prstGeom>
        <a:solidFill>
          <a:srgbClr val="FFFFFF"/>
        </a:solidFill>
        <a:ln w="1" cmpd="sng">
          <a:noFill/>
        </a:ln>
      </xdr:spPr>
    </xdr:pic>
    <xdr:clientData fLocksWithSheet="0"/>
  </xdr:twoCellAnchor>
  <xdr:twoCellAnchor editAs="oneCell">
    <xdr:from>
      <xdr:col>8</xdr:col>
      <xdr:colOff>266700</xdr:colOff>
      <xdr:row>67</xdr:row>
      <xdr:rowOff>9525</xdr:rowOff>
    </xdr:from>
    <xdr:to>
      <xdr:col>11</xdr:col>
      <xdr:colOff>19050</xdr:colOff>
      <xdr:row>68</xdr:row>
      <xdr:rowOff>9525</xdr:rowOff>
    </xdr:to>
    <xdr:pic>
      <xdr:nvPicPr>
        <xdr:cNvPr id="7" name="ComboBox2"/>
        <xdr:cNvPicPr preferRelativeResize="1">
          <a:picLocks noChangeAspect="1"/>
        </xdr:cNvPicPr>
      </xdr:nvPicPr>
      <xdr:blipFill>
        <a:blip r:embed="rId4"/>
        <a:stretch>
          <a:fillRect/>
        </a:stretch>
      </xdr:blipFill>
      <xdr:spPr>
        <a:xfrm>
          <a:off x="4924425" y="13649325"/>
          <a:ext cx="2238375" cy="257175"/>
        </a:xfrm>
        <a:prstGeom prst="rect">
          <a:avLst/>
        </a:prstGeom>
        <a:solidFill>
          <a:srgbClr val="FFFFFF"/>
        </a:solidFill>
        <a:ln w="1"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409575</xdr:colOff>
      <xdr:row>6</xdr:row>
      <xdr:rowOff>19050</xdr:rowOff>
    </xdr:from>
    <xdr:to>
      <xdr:col>11</xdr:col>
      <xdr:colOff>561975</xdr:colOff>
      <xdr:row>10</xdr:row>
      <xdr:rowOff>142875</xdr:rowOff>
    </xdr:to>
    <xdr:pic>
      <xdr:nvPicPr>
        <xdr:cNvPr id="1" name="Picture 46"/>
        <xdr:cNvPicPr preferRelativeResize="1">
          <a:picLocks noChangeAspect="1"/>
        </xdr:cNvPicPr>
      </xdr:nvPicPr>
      <xdr:blipFill>
        <a:blip r:embed="rId1"/>
        <a:stretch>
          <a:fillRect/>
        </a:stretch>
      </xdr:blipFill>
      <xdr:spPr>
        <a:xfrm>
          <a:off x="6800850" y="1333500"/>
          <a:ext cx="1981200" cy="962025"/>
        </a:xfrm>
        <a:prstGeom prst="rect">
          <a:avLst/>
        </a:prstGeom>
        <a:solidFill>
          <a:srgbClr val="FFFF99"/>
        </a:solidFill>
        <a:ln w="9525" cmpd="sng">
          <a:noFill/>
        </a:ln>
      </xdr:spPr>
    </xdr:pic>
    <xdr:clientData/>
  </xdr:twoCellAnchor>
  <xdr:twoCellAnchor editAs="oneCell">
    <xdr:from>
      <xdr:col>8</xdr:col>
      <xdr:colOff>9525</xdr:colOff>
      <xdr:row>26</xdr:row>
      <xdr:rowOff>9525</xdr:rowOff>
    </xdr:from>
    <xdr:to>
      <xdr:col>9</xdr:col>
      <xdr:colOff>28575</xdr:colOff>
      <xdr:row>28</xdr:row>
      <xdr:rowOff>9525</xdr:rowOff>
    </xdr:to>
    <xdr:pic>
      <xdr:nvPicPr>
        <xdr:cNvPr id="2" name="Button2"/>
        <xdr:cNvPicPr preferRelativeResize="1">
          <a:picLocks noChangeAspect="1"/>
        </xdr:cNvPicPr>
      </xdr:nvPicPr>
      <xdr:blipFill>
        <a:blip r:embed="rId2"/>
        <a:stretch>
          <a:fillRect/>
        </a:stretch>
      </xdr:blipFill>
      <xdr:spPr>
        <a:xfrm>
          <a:off x="5486400" y="5486400"/>
          <a:ext cx="933450" cy="419100"/>
        </a:xfrm>
        <a:prstGeom prst="rect">
          <a:avLst/>
        </a:prstGeom>
        <a:noFill/>
        <a:ln w="9525" cmpd="sng">
          <a:noFill/>
        </a:ln>
      </xdr:spPr>
    </xdr:pic>
    <xdr:clientData/>
  </xdr:twoCellAnchor>
  <xdr:twoCellAnchor editAs="oneCell">
    <xdr:from>
      <xdr:col>9</xdr:col>
      <xdr:colOff>9525</xdr:colOff>
      <xdr:row>26</xdr:row>
      <xdr:rowOff>9525</xdr:rowOff>
    </xdr:from>
    <xdr:to>
      <xdr:col>10</xdr:col>
      <xdr:colOff>28575</xdr:colOff>
      <xdr:row>28</xdr:row>
      <xdr:rowOff>9525</xdr:rowOff>
    </xdr:to>
    <xdr:pic>
      <xdr:nvPicPr>
        <xdr:cNvPr id="3" name="Button3"/>
        <xdr:cNvPicPr preferRelativeResize="1">
          <a:picLocks noChangeAspect="1"/>
        </xdr:cNvPicPr>
      </xdr:nvPicPr>
      <xdr:blipFill>
        <a:blip r:embed="rId3"/>
        <a:stretch>
          <a:fillRect/>
        </a:stretch>
      </xdr:blipFill>
      <xdr:spPr>
        <a:xfrm>
          <a:off x="6400800" y="5486400"/>
          <a:ext cx="933450" cy="419100"/>
        </a:xfrm>
        <a:prstGeom prst="rect">
          <a:avLst/>
        </a:prstGeom>
        <a:noFill/>
        <a:ln w="9525" cmpd="sng">
          <a:noFill/>
        </a:ln>
      </xdr:spPr>
    </xdr:pic>
    <xdr:clientData/>
  </xdr:twoCellAnchor>
  <xdr:twoCellAnchor editAs="oneCell">
    <xdr:from>
      <xdr:col>10</xdr:col>
      <xdr:colOff>9525</xdr:colOff>
      <xdr:row>26</xdr:row>
      <xdr:rowOff>9525</xdr:rowOff>
    </xdr:from>
    <xdr:to>
      <xdr:col>11</xdr:col>
      <xdr:colOff>28575</xdr:colOff>
      <xdr:row>28</xdr:row>
      <xdr:rowOff>0</xdr:rowOff>
    </xdr:to>
    <xdr:pic>
      <xdr:nvPicPr>
        <xdr:cNvPr id="4" name="Button4"/>
        <xdr:cNvPicPr preferRelativeResize="1">
          <a:picLocks noChangeAspect="1"/>
        </xdr:cNvPicPr>
      </xdr:nvPicPr>
      <xdr:blipFill>
        <a:blip r:embed="rId4"/>
        <a:stretch>
          <a:fillRect/>
        </a:stretch>
      </xdr:blipFill>
      <xdr:spPr>
        <a:xfrm>
          <a:off x="7315200" y="5486400"/>
          <a:ext cx="933450" cy="409575"/>
        </a:xfrm>
        <a:prstGeom prst="rect">
          <a:avLst/>
        </a:prstGeom>
        <a:noFill/>
        <a:ln w="9525" cmpd="sng">
          <a:noFill/>
        </a:ln>
      </xdr:spPr>
    </xdr:pic>
    <xdr:clientData/>
  </xdr:twoCellAnchor>
  <xdr:twoCellAnchor editAs="oneCell">
    <xdr:from>
      <xdr:col>11</xdr:col>
      <xdr:colOff>9525</xdr:colOff>
      <xdr:row>26</xdr:row>
      <xdr:rowOff>9525</xdr:rowOff>
    </xdr:from>
    <xdr:to>
      <xdr:col>12</xdr:col>
      <xdr:colOff>19050</xdr:colOff>
      <xdr:row>28</xdr:row>
      <xdr:rowOff>0</xdr:rowOff>
    </xdr:to>
    <xdr:pic>
      <xdr:nvPicPr>
        <xdr:cNvPr id="5" name="Button5"/>
        <xdr:cNvPicPr preferRelativeResize="1">
          <a:picLocks noChangeAspect="1"/>
        </xdr:cNvPicPr>
      </xdr:nvPicPr>
      <xdr:blipFill>
        <a:blip r:embed="rId5"/>
        <a:stretch>
          <a:fillRect/>
        </a:stretch>
      </xdr:blipFill>
      <xdr:spPr>
        <a:xfrm>
          <a:off x="8229600" y="5486400"/>
          <a:ext cx="923925" cy="409575"/>
        </a:xfrm>
        <a:prstGeom prst="rect">
          <a:avLst/>
        </a:prstGeom>
        <a:noFill/>
        <a:ln w="9525" cmpd="sng">
          <a:noFill/>
        </a:ln>
      </xdr:spPr>
    </xdr:pic>
    <xdr:clientData/>
  </xdr:twoCellAnchor>
  <xdr:twoCellAnchor>
    <xdr:from>
      <xdr:col>5</xdr:col>
      <xdr:colOff>600075</xdr:colOff>
      <xdr:row>74</xdr:row>
      <xdr:rowOff>142875</xdr:rowOff>
    </xdr:from>
    <xdr:to>
      <xdr:col>11</xdr:col>
      <xdr:colOff>447675</xdr:colOff>
      <xdr:row>96</xdr:row>
      <xdr:rowOff>104775</xdr:rowOff>
    </xdr:to>
    <xdr:graphicFrame>
      <xdr:nvGraphicFramePr>
        <xdr:cNvPr id="6" name="Chart 35"/>
        <xdr:cNvGraphicFramePr/>
      </xdr:nvGraphicFramePr>
      <xdr:xfrm>
        <a:off x="2257425" y="14992350"/>
        <a:ext cx="6410325" cy="4572000"/>
      </xdr:xfrm>
      <a:graphic>
        <a:graphicData uri="http://schemas.openxmlformats.org/drawingml/2006/chart">
          <c:chart xmlns:c="http://schemas.openxmlformats.org/drawingml/2006/chart" r:id="rId6"/>
        </a:graphicData>
      </a:graphic>
    </xdr:graphicFrame>
    <xdr:clientData/>
  </xdr:twoCellAnchor>
  <xdr:twoCellAnchor>
    <xdr:from>
      <xdr:col>7</xdr:col>
      <xdr:colOff>133350</xdr:colOff>
      <xdr:row>27</xdr:row>
      <xdr:rowOff>0</xdr:rowOff>
    </xdr:from>
    <xdr:to>
      <xdr:col>7</xdr:col>
      <xdr:colOff>1409700</xdr:colOff>
      <xdr:row>27</xdr:row>
      <xdr:rowOff>0</xdr:rowOff>
    </xdr:to>
    <xdr:sp>
      <xdr:nvSpPr>
        <xdr:cNvPr id="7" name="Line 61"/>
        <xdr:cNvSpPr>
          <a:spLocks/>
        </xdr:cNvSpPr>
      </xdr:nvSpPr>
      <xdr:spPr>
        <a:xfrm>
          <a:off x="4133850" y="5686425"/>
          <a:ext cx="1276350" cy="0"/>
        </a:xfrm>
        <a:prstGeom prst="line">
          <a:avLst/>
        </a:prstGeom>
        <a:noFill/>
        <a:ln w="22225" cmpd="sng">
          <a:solidFill>
            <a:srgbClr val="000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xdr:row>
      <xdr:rowOff>95250</xdr:rowOff>
    </xdr:from>
    <xdr:to>
      <xdr:col>7</xdr:col>
      <xdr:colOff>1038225</xdr:colOff>
      <xdr:row>3</xdr:row>
      <xdr:rowOff>95250</xdr:rowOff>
    </xdr:to>
    <xdr:sp>
      <xdr:nvSpPr>
        <xdr:cNvPr id="8" name="Line 63"/>
        <xdr:cNvSpPr>
          <a:spLocks/>
        </xdr:cNvSpPr>
      </xdr:nvSpPr>
      <xdr:spPr>
        <a:xfrm>
          <a:off x="895350" y="752475"/>
          <a:ext cx="4143375"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C2:O32"/>
  <sheetViews>
    <sheetView showGridLines="0" tabSelected="1" zoomScale="87" zoomScaleNormal="87" zoomScalePageLayoutView="0" workbookViewId="0" topLeftCell="A1">
      <selection activeCell="A1" sqref="A1"/>
    </sheetView>
  </sheetViews>
  <sheetFormatPr defaultColWidth="8.6640625" defaultRowHeight="15"/>
  <cols>
    <col min="1" max="2" width="6.6640625" style="55" customWidth="1"/>
    <col min="3" max="3" width="4.6640625" style="55" customWidth="1"/>
    <col min="4" max="4" width="10.6640625" style="55" customWidth="1"/>
    <col min="5" max="6" width="8.6640625" style="55" customWidth="1"/>
    <col min="7" max="7" width="7.6640625" style="55" customWidth="1"/>
    <col min="8" max="12" width="8.6640625" style="55" customWidth="1"/>
    <col min="13" max="13" width="4.5546875" style="55" customWidth="1"/>
    <col min="14" max="16384" width="8.6640625" style="55" customWidth="1"/>
  </cols>
  <sheetData>
    <row r="1" ht="18" customHeight="1" thickBot="1"/>
    <row r="2" spans="3:13" ht="6" customHeight="1">
      <c r="C2" s="1"/>
      <c r="D2" s="2"/>
      <c r="E2" s="2"/>
      <c r="F2" s="2"/>
      <c r="G2" s="2"/>
      <c r="H2" s="2"/>
      <c r="I2" s="2"/>
      <c r="J2" s="2"/>
      <c r="K2" s="2"/>
      <c r="L2" s="2"/>
      <c r="M2" s="3"/>
    </row>
    <row r="3" spans="3:13" ht="18.75" customHeight="1">
      <c r="C3" s="4"/>
      <c r="D3" s="10"/>
      <c r="E3" s="10"/>
      <c r="F3" s="10"/>
      <c r="G3" s="73"/>
      <c r="H3" s="10" t="s">
        <v>129</v>
      </c>
      <c r="I3" s="9"/>
      <c r="J3" s="9"/>
      <c r="K3" s="9"/>
      <c r="L3" s="9"/>
      <c r="M3" s="5"/>
    </row>
    <row r="4" spans="3:13" ht="18.75" customHeight="1">
      <c r="C4" s="4"/>
      <c r="D4" s="10"/>
      <c r="E4" s="10"/>
      <c r="F4" s="422" t="s">
        <v>203</v>
      </c>
      <c r="G4" s="73"/>
      <c r="H4" s="10" t="s">
        <v>130</v>
      </c>
      <c r="I4" s="9"/>
      <c r="J4" s="9"/>
      <c r="K4" s="9"/>
      <c r="L4" s="9"/>
      <c r="M4" s="5"/>
    </row>
    <row r="5" spans="3:13" ht="18.75" customHeight="1">
      <c r="C5" s="4"/>
      <c r="D5" s="11"/>
      <c r="E5" s="10"/>
      <c r="F5" s="423"/>
      <c r="G5" s="73"/>
      <c r="H5" s="10" t="s">
        <v>131</v>
      </c>
      <c r="I5" s="9"/>
      <c r="J5" s="9"/>
      <c r="K5" s="9"/>
      <c r="L5" s="9"/>
      <c r="M5" s="5"/>
    </row>
    <row r="6" spans="3:13" ht="6" customHeight="1" thickBot="1">
      <c r="C6" s="6"/>
      <c r="D6" s="7"/>
      <c r="E6" s="7"/>
      <c r="F6" s="7"/>
      <c r="G6" s="7"/>
      <c r="H6" s="7"/>
      <c r="I6" s="7"/>
      <c r="J6" s="7"/>
      <c r="K6" s="7"/>
      <c r="L6" s="7"/>
      <c r="M6" s="8"/>
    </row>
    <row r="7" spans="3:13" ht="12" customHeight="1">
      <c r="C7" s="56"/>
      <c r="D7" s="56"/>
      <c r="E7" s="56"/>
      <c r="F7" s="56"/>
      <c r="G7" s="56"/>
      <c r="H7" s="56"/>
      <c r="I7" s="56"/>
      <c r="J7" s="56"/>
      <c r="K7" s="56"/>
      <c r="L7" s="56"/>
      <c r="M7" s="56"/>
    </row>
    <row r="8" spans="3:13" ht="16.5" customHeight="1">
      <c r="C8" s="57" t="s">
        <v>50</v>
      </c>
      <c r="D8" s="57"/>
      <c r="E8" s="56"/>
      <c r="F8" s="56"/>
      <c r="G8" s="56"/>
      <c r="H8" s="56"/>
      <c r="I8" s="56"/>
      <c r="J8" s="56"/>
      <c r="K8" s="56"/>
      <c r="L8" s="56"/>
      <c r="M8" s="56"/>
    </row>
    <row r="9" spans="3:13" ht="16.5" customHeight="1">
      <c r="C9" s="427" t="s">
        <v>161</v>
      </c>
      <c r="D9" s="428"/>
      <c r="E9" s="428"/>
      <c r="F9" s="428"/>
      <c r="G9" s="428"/>
      <c r="H9" s="428"/>
      <c r="I9" s="428"/>
      <c r="J9" s="428"/>
      <c r="K9" s="428"/>
      <c r="L9" s="428"/>
      <c r="M9" s="428"/>
    </row>
    <row r="10" spans="3:13" ht="16.5" customHeight="1">
      <c r="C10" s="428"/>
      <c r="D10" s="428"/>
      <c r="E10" s="428"/>
      <c r="F10" s="428"/>
      <c r="G10" s="428"/>
      <c r="H10" s="428"/>
      <c r="I10" s="428"/>
      <c r="J10" s="428"/>
      <c r="K10" s="428"/>
      <c r="L10" s="428"/>
      <c r="M10" s="428"/>
    </row>
    <row r="11" spans="3:13" ht="16.5" customHeight="1">
      <c r="C11" s="428"/>
      <c r="D11" s="428"/>
      <c r="E11" s="428"/>
      <c r="F11" s="428"/>
      <c r="G11" s="428"/>
      <c r="H11" s="428"/>
      <c r="I11" s="428"/>
      <c r="J11" s="428"/>
      <c r="K11" s="428"/>
      <c r="L11" s="428"/>
      <c r="M11" s="428"/>
    </row>
    <row r="12" spans="3:13" ht="12" customHeight="1">
      <c r="C12" s="50"/>
      <c r="D12" s="50"/>
      <c r="E12" s="50"/>
      <c r="F12" s="50"/>
      <c r="G12" s="50"/>
      <c r="H12" s="50"/>
      <c r="I12" s="50"/>
      <c r="J12" s="50"/>
      <c r="K12" s="50"/>
      <c r="L12" s="50"/>
      <c r="M12" s="50"/>
    </row>
    <row r="13" spans="3:13" ht="16.5" customHeight="1">
      <c r="C13" s="57" t="s">
        <v>51</v>
      </c>
      <c r="E13" s="56"/>
      <c r="F13" s="56"/>
      <c r="G13" s="56"/>
      <c r="H13" s="56"/>
      <c r="I13" s="56"/>
      <c r="J13" s="56"/>
      <c r="K13" s="56"/>
      <c r="L13" s="56"/>
      <c r="M13" s="56"/>
    </row>
    <row r="14" spans="3:13" ht="16.5" customHeight="1">
      <c r="C14" s="431" t="s">
        <v>52</v>
      </c>
      <c r="D14" s="431"/>
      <c r="E14" s="431"/>
      <c r="F14" s="431"/>
      <c r="G14" s="431"/>
      <c r="H14" s="431"/>
      <c r="I14" s="431"/>
      <c r="J14" s="431"/>
      <c r="K14" s="431"/>
      <c r="L14" s="431"/>
      <c r="M14" s="431"/>
    </row>
    <row r="15" spans="3:13" ht="16.5" customHeight="1">
      <c r="C15" s="431"/>
      <c r="D15" s="431"/>
      <c r="E15" s="431"/>
      <c r="F15" s="431"/>
      <c r="G15" s="431"/>
      <c r="H15" s="431"/>
      <c r="I15" s="431"/>
      <c r="J15" s="431"/>
      <c r="K15" s="431"/>
      <c r="L15" s="431"/>
      <c r="M15" s="431"/>
    </row>
    <row r="16" spans="3:13" ht="12" customHeight="1">
      <c r="C16" s="56"/>
      <c r="E16" s="56"/>
      <c r="F16" s="56"/>
      <c r="G16" s="56"/>
      <c r="H16" s="56"/>
      <c r="I16" s="56"/>
      <c r="J16" s="56"/>
      <c r="K16" s="56"/>
      <c r="L16" s="56"/>
      <c r="M16" s="56"/>
    </row>
    <row r="17" spans="3:13" ht="16.5" customHeight="1">
      <c r="C17" s="57" t="s">
        <v>162</v>
      </c>
      <c r="E17" s="56"/>
      <c r="F17" s="56"/>
      <c r="G17" s="56"/>
      <c r="H17" s="56"/>
      <c r="I17" s="56"/>
      <c r="J17" s="56"/>
      <c r="K17" s="56"/>
      <c r="L17" s="56"/>
      <c r="M17" s="56"/>
    </row>
    <row r="18" spans="3:13" ht="16.5" customHeight="1">
      <c r="C18" s="432" t="s">
        <v>160</v>
      </c>
      <c r="D18" s="433"/>
      <c r="E18" s="433"/>
      <c r="F18" s="433"/>
      <c r="G18" s="433"/>
      <c r="H18" s="433"/>
      <c r="I18" s="433"/>
      <c r="J18" s="433"/>
      <c r="K18" s="433"/>
      <c r="L18" s="433"/>
      <c r="M18" s="433"/>
    </row>
    <row r="19" spans="3:13" ht="16.5" customHeight="1">
      <c r="C19" s="432" t="s">
        <v>16</v>
      </c>
      <c r="D19" s="433"/>
      <c r="E19" s="433"/>
      <c r="F19" s="433"/>
      <c r="G19" s="433"/>
      <c r="H19" s="433"/>
      <c r="I19" s="433"/>
      <c r="J19" s="433"/>
      <c r="K19" s="433"/>
      <c r="L19" s="433"/>
      <c r="M19" s="433"/>
    </row>
    <row r="20" spans="3:13" ht="16.5" customHeight="1">
      <c r="C20" s="432" t="s">
        <v>138</v>
      </c>
      <c r="D20" s="433"/>
      <c r="E20" s="433"/>
      <c r="F20" s="433"/>
      <c r="G20" s="433"/>
      <c r="H20" s="433"/>
      <c r="I20" s="433"/>
      <c r="J20" s="433"/>
      <c r="K20" s="433"/>
      <c r="L20" s="433"/>
      <c r="M20" s="433"/>
    </row>
    <row r="21" spans="3:13" ht="12" customHeight="1">
      <c r="C21" s="429"/>
      <c r="D21" s="430"/>
      <c r="E21" s="430"/>
      <c r="F21" s="430"/>
      <c r="G21" s="430"/>
      <c r="H21" s="430"/>
      <c r="I21" s="430"/>
      <c r="J21" s="430"/>
      <c r="K21" s="430"/>
      <c r="L21" s="430"/>
      <c r="M21" s="430"/>
    </row>
    <row r="22" spans="3:15" ht="13.5" customHeight="1">
      <c r="C22" s="66" t="s">
        <v>63</v>
      </c>
      <c r="D22" s="18"/>
      <c r="E22" s="18"/>
      <c r="F22" s="18"/>
      <c r="G22" s="18"/>
      <c r="H22" s="18"/>
      <c r="I22" s="18"/>
      <c r="J22" s="18"/>
      <c r="K22" s="18"/>
      <c r="L22" s="18"/>
      <c r="M22" s="18"/>
      <c r="O22"/>
    </row>
    <row r="23" spans="4:15" ht="12" customHeight="1">
      <c r="D23" s="65"/>
      <c r="E23" s="65"/>
      <c r="F23" s="65"/>
      <c r="G23" s="65"/>
      <c r="H23" s="65"/>
      <c r="I23" s="65"/>
      <c r="J23" s="65"/>
      <c r="K23" s="65"/>
      <c r="L23" s="65"/>
      <c r="M23" s="65"/>
      <c r="O23"/>
    </row>
    <row r="24" spans="3:15" ht="16.5" customHeight="1">
      <c r="C24" s="424" t="s">
        <v>176</v>
      </c>
      <c r="D24" s="425"/>
      <c r="E24" s="425"/>
      <c r="F24" s="425"/>
      <c r="G24" s="425"/>
      <c r="H24" s="425"/>
      <c r="I24" s="425"/>
      <c r="J24" s="425"/>
      <c r="K24" s="425"/>
      <c r="L24" s="425"/>
      <c r="M24" s="425"/>
      <c r="O24"/>
    </row>
    <row r="25" spans="3:15" ht="16.5" customHeight="1">
      <c r="C25" s="425"/>
      <c r="D25" s="425"/>
      <c r="E25" s="425"/>
      <c r="F25" s="425"/>
      <c r="G25" s="425"/>
      <c r="H25" s="425"/>
      <c r="I25" s="425"/>
      <c r="J25" s="425"/>
      <c r="K25" s="425"/>
      <c r="L25" s="425"/>
      <c r="M25" s="425"/>
      <c r="O25"/>
    </row>
    <row r="26" spans="3:15" ht="16.5" customHeight="1">
      <c r="C26" s="425"/>
      <c r="D26" s="425"/>
      <c r="E26" s="425"/>
      <c r="F26" s="425"/>
      <c r="G26" s="425"/>
      <c r="H26" s="425"/>
      <c r="I26" s="425"/>
      <c r="J26" s="425"/>
      <c r="K26" s="425"/>
      <c r="L26" s="425"/>
      <c r="M26" s="425"/>
      <c r="O26"/>
    </row>
    <row r="27" spans="3:13" ht="16.5" customHeight="1" thickBot="1">
      <c r="C27" s="426"/>
      <c r="D27" s="426"/>
      <c r="E27" s="426"/>
      <c r="F27" s="426"/>
      <c r="G27" s="426"/>
      <c r="H27" s="426"/>
      <c r="I27" s="426"/>
      <c r="J27" s="426"/>
      <c r="K27" s="426"/>
      <c r="L27" s="426"/>
      <c r="M27" s="425"/>
    </row>
    <row r="28" spans="3:13" ht="12" customHeight="1">
      <c r="C28" s="77"/>
      <c r="D28" s="2"/>
      <c r="E28" s="2"/>
      <c r="F28" s="78"/>
      <c r="G28" s="2"/>
      <c r="H28" s="2"/>
      <c r="I28" s="2"/>
      <c r="J28" s="2"/>
      <c r="K28" s="2"/>
      <c r="L28" s="2"/>
      <c r="M28" s="3"/>
    </row>
    <row r="29" spans="3:13" ht="16.5" customHeight="1">
      <c r="C29" s="75"/>
      <c r="D29" s="74"/>
      <c r="E29" s="74"/>
      <c r="F29" s="73"/>
      <c r="G29" s="74"/>
      <c r="H29" s="74"/>
      <c r="I29" s="74"/>
      <c r="J29" s="74"/>
      <c r="K29" s="74"/>
      <c r="L29" s="74"/>
      <c r="M29" s="5"/>
    </row>
    <row r="30" spans="3:13" ht="15">
      <c r="C30" s="80" t="s">
        <v>24</v>
      </c>
      <c r="D30" s="74"/>
      <c r="E30" s="74"/>
      <c r="F30" s="73"/>
      <c r="G30" s="74"/>
      <c r="H30" s="74"/>
      <c r="I30" s="74"/>
      <c r="J30" s="74"/>
      <c r="K30" s="74"/>
      <c r="L30" s="74"/>
      <c r="M30" s="5"/>
    </row>
    <row r="31" spans="3:13" ht="15.75" thickBot="1">
      <c r="C31" s="6"/>
      <c r="D31" s="76"/>
      <c r="E31" s="7"/>
      <c r="F31" s="7"/>
      <c r="G31" s="7"/>
      <c r="H31" s="7"/>
      <c r="I31" s="7"/>
      <c r="J31" s="7"/>
      <c r="K31" s="7"/>
      <c r="L31" s="7"/>
      <c r="M31" s="8"/>
    </row>
    <row r="32" ht="13.5">
      <c r="M32" s="56"/>
    </row>
  </sheetData>
  <sheetProtection password="EE63" sheet="1" objects="1" scenarios="1"/>
  <mergeCells count="8">
    <mergeCell ref="F4:F5"/>
    <mergeCell ref="C24:M27"/>
    <mergeCell ref="C9:M11"/>
    <mergeCell ref="C21:M21"/>
    <mergeCell ref="C14:M15"/>
    <mergeCell ref="C18:M18"/>
    <mergeCell ref="C19:M19"/>
    <mergeCell ref="C20:M20"/>
  </mergeCells>
  <printOptions/>
  <pageMargins left="0.43" right="0.46" top="1" bottom="0.7" header="0.5" footer="0.5"/>
  <pageSetup horizontalDpi="600" verticalDpi="600" orientation="landscape"/>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3:M154"/>
  <sheetViews>
    <sheetView showGridLines="0" showOutlineSymbols="0" zoomScale="87" zoomScaleNormal="87" zoomScalePageLayoutView="0" workbookViewId="0" topLeftCell="A1">
      <selection activeCell="H7" sqref="H7:J7"/>
    </sheetView>
  </sheetViews>
  <sheetFormatPr defaultColWidth="8.6640625" defaultRowHeight="16.5" customHeight="1"/>
  <cols>
    <col min="1" max="1" width="3.6640625" style="13" customWidth="1"/>
    <col min="2" max="2" width="6.6640625" style="13" customWidth="1"/>
    <col min="3" max="3" width="1.66796875" style="13" customWidth="1"/>
    <col min="4" max="5" width="2.6640625" style="13" customWidth="1"/>
    <col min="6" max="6" width="10.6640625" style="13" customWidth="1"/>
    <col min="7" max="7" width="16.6640625" style="13" customWidth="1"/>
    <col min="8" max="12" width="9.6640625" style="13" customWidth="1"/>
    <col min="13" max="13" width="8.6640625" style="13" customWidth="1"/>
    <col min="14" max="16384" width="8.6640625" style="13" customWidth="1"/>
  </cols>
  <sheetData>
    <row r="3" spans="3:11" ht="16.5" customHeight="1">
      <c r="C3" s="45"/>
      <c r="D3" s="22"/>
      <c r="E3" s="22"/>
      <c r="F3" s="22"/>
      <c r="G3" s="22"/>
      <c r="H3" s="22"/>
      <c r="I3" s="22"/>
      <c r="J3" s="22"/>
      <c r="K3" s="22"/>
    </row>
    <row r="4" ht="16.5" customHeight="1">
      <c r="C4" s="79" t="s">
        <v>109</v>
      </c>
    </row>
    <row r="6" spans="3:11" ht="16.5" customHeight="1">
      <c r="C6" s="439" t="s">
        <v>106</v>
      </c>
      <c r="D6" s="440"/>
      <c r="E6" s="440"/>
      <c r="F6" s="440"/>
      <c r="G6" s="440"/>
      <c r="H6" s="440"/>
      <c r="I6" s="440"/>
      <c r="J6" s="440"/>
      <c r="K6" s="441"/>
    </row>
    <row r="7" spans="3:11" ht="16.5" customHeight="1">
      <c r="C7" s="150"/>
      <c r="D7" s="436" t="s">
        <v>103</v>
      </c>
      <c r="E7" s="437"/>
      <c r="F7" s="437"/>
      <c r="G7" s="437"/>
      <c r="H7" s="481" t="s">
        <v>205</v>
      </c>
      <c r="I7" s="482"/>
      <c r="J7" s="483"/>
      <c r="K7" s="271"/>
    </row>
    <row r="8" spans="3:12" ht="16.5" customHeight="1">
      <c r="C8" s="150"/>
      <c r="D8" s="434" t="s">
        <v>144</v>
      </c>
      <c r="E8" s="435"/>
      <c r="F8" s="435"/>
      <c r="G8" s="435"/>
      <c r="H8" s="442"/>
      <c r="I8" s="442"/>
      <c r="J8" s="174">
        <v>100</v>
      </c>
      <c r="K8" s="272"/>
      <c r="L8" s="18"/>
    </row>
    <row r="9" spans="3:12" ht="16.5" customHeight="1">
      <c r="C9" s="150"/>
      <c r="D9" s="434" t="s">
        <v>26</v>
      </c>
      <c r="E9" s="435"/>
      <c r="F9" s="435"/>
      <c r="G9" s="435"/>
      <c r="H9" s="435"/>
      <c r="I9" s="435"/>
      <c r="J9" s="167">
        <v>120</v>
      </c>
      <c r="K9" s="273"/>
      <c r="L9" s="18"/>
    </row>
    <row r="10" spans="3:13" ht="16.5" customHeight="1">
      <c r="C10" s="150"/>
      <c r="D10" s="443" t="s">
        <v>40</v>
      </c>
      <c r="E10" s="444"/>
      <c r="F10" s="444"/>
      <c r="G10" s="444"/>
      <c r="H10" s="444"/>
      <c r="I10" s="444"/>
      <c r="J10" s="168">
        <v>6</v>
      </c>
      <c r="K10" s="274"/>
      <c r="M10" s="18"/>
    </row>
    <row r="11" spans="3:13" ht="5.25" customHeight="1">
      <c r="C11" s="150"/>
      <c r="D11" s="14"/>
      <c r="E11" s="82"/>
      <c r="F11" s="82"/>
      <c r="G11" s="82"/>
      <c r="H11" s="82"/>
      <c r="I11" s="82"/>
      <c r="J11" s="169"/>
      <c r="K11" s="274"/>
      <c r="M11" s="18"/>
    </row>
    <row r="12" spans="3:12" ht="16.5" customHeight="1">
      <c r="C12" s="150"/>
      <c r="D12" s="436" t="s">
        <v>58</v>
      </c>
      <c r="E12" s="437"/>
      <c r="F12" s="437"/>
      <c r="G12" s="437"/>
      <c r="H12" s="437"/>
      <c r="I12" s="437"/>
      <c r="J12" s="170">
        <v>750</v>
      </c>
      <c r="K12" s="274"/>
      <c r="L12" s="41"/>
    </row>
    <row r="13" spans="3:12" ht="16.5" customHeight="1">
      <c r="C13" s="150"/>
      <c r="D13" s="434" t="s">
        <v>53</v>
      </c>
      <c r="E13" s="435"/>
      <c r="F13" s="435"/>
      <c r="G13" s="435"/>
      <c r="H13" s="435"/>
      <c r="I13" s="435"/>
      <c r="J13" s="171">
        <v>12</v>
      </c>
      <c r="K13" s="274"/>
      <c r="L13" s="18"/>
    </row>
    <row r="14" spans="3:12" ht="16.5" customHeight="1">
      <c r="C14" s="150"/>
      <c r="D14" s="434" t="s">
        <v>54</v>
      </c>
      <c r="E14" s="435"/>
      <c r="F14" s="435"/>
      <c r="G14" s="435"/>
      <c r="H14" s="435"/>
      <c r="I14" s="435"/>
      <c r="J14" s="172">
        <v>0.75</v>
      </c>
      <c r="K14" s="274"/>
      <c r="L14" s="18"/>
    </row>
    <row r="15" spans="3:12" ht="16.5" customHeight="1">
      <c r="C15" s="151"/>
      <c r="D15" s="445" t="s">
        <v>55</v>
      </c>
      <c r="E15" s="446"/>
      <c r="F15" s="446"/>
      <c r="G15" s="446"/>
      <c r="H15" s="446"/>
      <c r="I15" s="446"/>
      <c r="J15" s="173">
        <v>25</v>
      </c>
      <c r="K15" s="275"/>
      <c r="L15" s="18"/>
    </row>
    <row r="16" spans="3:12" ht="16.5" customHeight="1">
      <c r="C16" s="19"/>
      <c r="D16" s="447" t="s">
        <v>27</v>
      </c>
      <c r="E16" s="448"/>
      <c r="F16" s="448"/>
      <c r="G16" s="448"/>
      <c r="H16" s="448"/>
      <c r="I16" s="448"/>
      <c r="J16" s="448"/>
      <c r="K16" s="449"/>
      <c r="L16" s="18"/>
    </row>
    <row r="17" spans="5:12" ht="16.5" customHeight="1">
      <c r="E17" s="15"/>
      <c r="F17" s="15"/>
      <c r="G17" s="15"/>
      <c r="H17" s="15"/>
      <c r="I17" s="15"/>
      <c r="J17" s="15"/>
      <c r="K17" s="15"/>
      <c r="L17" s="15"/>
    </row>
    <row r="18" spans="3:13" ht="16.5" customHeight="1">
      <c r="C18" s="439" t="s">
        <v>6</v>
      </c>
      <c r="D18" s="440"/>
      <c r="E18" s="440"/>
      <c r="F18" s="440"/>
      <c r="G18" s="440"/>
      <c r="H18" s="440"/>
      <c r="I18" s="440"/>
      <c r="J18" s="440"/>
      <c r="K18" s="441"/>
      <c r="L18" s="18"/>
      <c r="M18" s="18"/>
    </row>
    <row r="19" spans="3:12" ht="16.5" customHeight="1">
      <c r="C19" s="116"/>
      <c r="D19" s="436" t="s">
        <v>102</v>
      </c>
      <c r="E19" s="436"/>
      <c r="F19" s="436"/>
      <c r="G19" s="436"/>
      <c r="H19" s="437"/>
      <c r="I19" s="437"/>
      <c r="J19" s="227">
        <v>0.75</v>
      </c>
      <c r="K19" s="276"/>
      <c r="L19" s="20"/>
    </row>
    <row r="20" spans="3:12" ht="16.5" customHeight="1">
      <c r="C20" s="116"/>
      <c r="D20" s="434" t="s">
        <v>86</v>
      </c>
      <c r="E20" s="434"/>
      <c r="F20" s="434"/>
      <c r="G20" s="434"/>
      <c r="H20" s="435"/>
      <c r="I20" s="435"/>
      <c r="J20" s="137">
        <v>0</v>
      </c>
      <c r="K20" s="274"/>
      <c r="L20" s="48"/>
    </row>
    <row r="21" spans="3:12" ht="16.5" customHeight="1">
      <c r="C21" s="116"/>
      <c r="D21" s="434" t="s">
        <v>149</v>
      </c>
      <c r="E21" s="434"/>
      <c r="F21" s="434"/>
      <c r="G21" s="434"/>
      <c r="H21" s="435"/>
      <c r="I21" s="435"/>
      <c r="J21" s="228">
        <v>14</v>
      </c>
      <c r="K21" s="274"/>
      <c r="L21" s="49"/>
    </row>
    <row r="22" spans="3:12" ht="16.5" customHeight="1">
      <c r="C22" s="116"/>
      <c r="D22" s="434" t="s">
        <v>101</v>
      </c>
      <c r="E22" s="435"/>
      <c r="F22" s="435"/>
      <c r="G22" s="435"/>
      <c r="H22" s="435"/>
      <c r="I22" s="435"/>
      <c r="J22" s="167">
        <v>30</v>
      </c>
      <c r="K22" s="274"/>
      <c r="L22" s="18"/>
    </row>
    <row r="23" spans="3:12" ht="16.5" customHeight="1">
      <c r="C23" s="116"/>
      <c r="D23" s="434" t="s">
        <v>9</v>
      </c>
      <c r="E23" s="434"/>
      <c r="F23" s="434"/>
      <c r="G23" s="434"/>
      <c r="H23" s="435"/>
      <c r="I23" s="435"/>
      <c r="J23" s="229">
        <v>2</v>
      </c>
      <c r="K23" s="274"/>
      <c r="L23" s="20"/>
    </row>
    <row r="24" spans="3:12" ht="16.5" customHeight="1">
      <c r="C24" s="116"/>
      <c r="D24" s="434" t="s">
        <v>87</v>
      </c>
      <c r="E24" s="434"/>
      <c r="F24" s="434"/>
      <c r="G24" s="434"/>
      <c r="H24" s="435"/>
      <c r="I24" s="435"/>
      <c r="J24" s="229">
        <v>0</v>
      </c>
      <c r="K24" s="274"/>
      <c r="L24" s="20"/>
    </row>
    <row r="25" spans="3:11" ht="16.5" customHeight="1">
      <c r="C25" s="117"/>
      <c r="D25" s="445" t="s">
        <v>4</v>
      </c>
      <c r="E25" s="445"/>
      <c r="F25" s="445"/>
      <c r="G25" s="445"/>
      <c r="H25" s="446"/>
      <c r="I25" s="446"/>
      <c r="J25" s="280"/>
      <c r="K25" s="275"/>
    </row>
    <row r="26" spans="3:12" ht="16.5" customHeight="1">
      <c r="C26" s="277"/>
      <c r="D26" s="465"/>
      <c r="E26" s="465"/>
      <c r="F26" s="465"/>
      <c r="G26" s="465"/>
      <c r="H26" s="278"/>
      <c r="I26" s="278"/>
      <c r="J26" s="279"/>
      <c r="K26" s="275"/>
      <c r="L26" s="47" t="s">
        <v>14</v>
      </c>
    </row>
    <row r="27" spans="4:12" ht="16.5" customHeight="1">
      <c r="D27" s="21"/>
      <c r="E27" s="15"/>
      <c r="F27" s="15"/>
      <c r="G27" s="15"/>
      <c r="H27" s="15"/>
      <c r="I27" s="15"/>
      <c r="J27" s="15"/>
      <c r="K27" s="15"/>
      <c r="L27" s="17"/>
    </row>
    <row r="28" spans="4:12" ht="16.5" customHeight="1">
      <c r="D28" s="21"/>
      <c r="E28" s="15"/>
      <c r="F28" s="15"/>
      <c r="G28" s="15"/>
      <c r="H28" s="15"/>
      <c r="I28" s="15"/>
      <c r="J28" s="15"/>
      <c r="K28" s="15"/>
      <c r="L28" s="15"/>
    </row>
    <row r="31" spans="3:12" ht="16.5" customHeight="1">
      <c r="C31" s="466" t="str">
        <f>"Estimated cost of supplement program for "&amp;LEFT(H7,25)</f>
        <v>Estimated cost of supplement program for Clear Profit Ranch</v>
      </c>
      <c r="D31" s="467"/>
      <c r="E31" s="467"/>
      <c r="F31" s="467"/>
      <c r="G31" s="467"/>
      <c r="H31" s="467"/>
      <c r="I31" s="467"/>
      <c r="J31" s="467"/>
      <c r="K31" s="468"/>
      <c r="L31" s="15"/>
    </row>
    <row r="32" spans="3:12" ht="16.5" customHeight="1" hidden="1">
      <c r="C32" s="116"/>
      <c r="D32" s="27"/>
      <c r="E32" s="27"/>
      <c r="F32" s="27"/>
      <c r="G32" s="27"/>
      <c r="H32" s="27"/>
      <c r="I32" s="22"/>
      <c r="J32" s="27"/>
      <c r="K32" s="118"/>
      <c r="L32" s="15"/>
    </row>
    <row r="33" spans="3:12" ht="16.5" customHeight="1">
      <c r="C33" s="281"/>
      <c r="D33" s="282"/>
      <c r="E33" s="282"/>
      <c r="F33" s="282"/>
      <c r="G33" s="282"/>
      <c r="H33" s="282"/>
      <c r="I33" s="462" t="s">
        <v>184</v>
      </c>
      <c r="J33" s="463"/>
      <c r="K33" s="464"/>
      <c r="L33" s="15"/>
    </row>
    <row r="34" spans="3:12" ht="16.5" customHeight="1">
      <c r="C34" s="469" t="s">
        <v>133</v>
      </c>
      <c r="D34" s="470"/>
      <c r="E34" s="470"/>
      <c r="F34" s="470"/>
      <c r="G34" s="470"/>
      <c r="H34" s="471"/>
      <c r="I34" s="326" t="s">
        <v>134</v>
      </c>
      <c r="J34" s="326" t="s">
        <v>135</v>
      </c>
      <c r="K34" s="326" t="s">
        <v>136</v>
      </c>
      <c r="L34" s="15"/>
    </row>
    <row r="35" spans="3:12" ht="16.5" customHeight="1">
      <c r="C35" s="175"/>
      <c r="D35" s="121" t="s">
        <v>62</v>
      </c>
      <c r="E35" s="121"/>
      <c r="F35" s="121"/>
      <c r="G35" s="121"/>
      <c r="H35" s="121"/>
      <c r="I35" s="155">
        <f>IF(J$12&gt;0,J35/J$9,"")</f>
        <v>0.28125</v>
      </c>
      <c r="J35" s="156">
        <f>IF(J12&gt;0,J12/2000*J19*$J$9*(1+J20),"")</f>
        <v>33.75</v>
      </c>
      <c r="K35" s="157">
        <f>IF(J$12&gt;0,J35*J$8,"")</f>
        <v>3375</v>
      </c>
      <c r="L35" s="23"/>
    </row>
    <row r="36" spans="3:11" ht="16.5" customHeight="1">
      <c r="C36" s="330"/>
      <c r="D36" s="331"/>
      <c r="E36" s="331"/>
      <c r="F36" s="331"/>
      <c r="G36" s="331"/>
      <c r="H36" s="331"/>
      <c r="I36" s="332"/>
      <c r="J36" s="332"/>
      <c r="K36" s="332"/>
    </row>
    <row r="37" spans="3:12" ht="16.5" customHeight="1">
      <c r="C37" s="327"/>
      <c r="D37" s="328" t="s">
        <v>148</v>
      </c>
      <c r="E37" s="328"/>
      <c r="F37" s="328"/>
      <c r="G37" s="328"/>
      <c r="H37" s="328"/>
      <c r="I37" s="329"/>
      <c r="J37" s="329"/>
      <c r="K37" s="329"/>
      <c r="L37" s="23"/>
    </row>
    <row r="38" spans="3:12" ht="16.5" customHeight="1">
      <c r="C38" s="116"/>
      <c r="D38" s="83"/>
      <c r="E38" s="122" t="s">
        <v>151</v>
      </c>
      <c r="F38" s="83"/>
      <c r="G38" s="83"/>
      <c r="H38" s="83"/>
      <c r="I38" s="158">
        <f>IF(AND(J$12&gt;0,J$21&gt;0),J38/J$9,"")</f>
        <v>0</v>
      </c>
      <c r="J38" s="159">
        <f>IF(AND(J12&gt;0,J21&gt;0),SUMPRODUCT(Formulas!F71:F82,Equipment!$L8:$L19),"")</f>
        <v>0</v>
      </c>
      <c r="K38" s="160">
        <f>IF(AND(J$12&gt;0,J$21&gt;0),J38*J$8,"")</f>
        <v>0</v>
      </c>
      <c r="L38" s="24"/>
    </row>
    <row r="39" spans="3:12" ht="16.5" customHeight="1">
      <c r="C39" s="116"/>
      <c r="D39" s="84"/>
      <c r="E39" s="84" t="s">
        <v>152</v>
      </c>
      <c r="F39" s="84"/>
      <c r="G39" s="84"/>
      <c r="H39" s="84"/>
      <c r="I39" s="161">
        <f>IF(AND(J$12&gt;0,J$21&gt;0),J39/J$9,"")</f>
        <v>0.01714285714285714</v>
      </c>
      <c r="J39" s="162">
        <f>IF(AND(J12&gt;0,J21&gt;0),(J23*J9/J21)/J8*$J$13,"")</f>
        <v>2.057142857142857</v>
      </c>
      <c r="K39" s="163">
        <f>IF(AND(J$12&gt;0,J$21&gt;0),J39*J$8,"")</f>
        <v>205.7142857142857</v>
      </c>
      <c r="L39" s="24"/>
    </row>
    <row r="40" spans="3:12" ht="16.5" customHeight="1">
      <c r="C40" s="116"/>
      <c r="D40" s="84"/>
      <c r="E40" s="84" t="s">
        <v>153</v>
      </c>
      <c r="F40" s="84"/>
      <c r="G40" s="84"/>
      <c r="H40" s="84"/>
      <c r="I40" s="161">
        <f>IF(AND(J$12&gt;0,J$21&gt;0),J40/J$9,"")</f>
        <v>0.016071428571428573</v>
      </c>
      <c r="J40" s="162">
        <f>IF(AND(J12&gt;0,J21&gt;0),($J22*$J14*$J9/J21)/$J8,"")</f>
        <v>1.9285714285714286</v>
      </c>
      <c r="K40" s="163">
        <f>IF(AND(J$12&gt;0,J$21&gt;0),J40*J$8,"")</f>
        <v>192.85714285714286</v>
      </c>
      <c r="L40" s="24"/>
    </row>
    <row r="41" spans="3:12" ht="16.5" customHeight="1">
      <c r="C41" s="116"/>
      <c r="D41" s="84"/>
      <c r="E41" s="84" t="s">
        <v>99</v>
      </c>
      <c r="F41" s="84"/>
      <c r="G41" s="84"/>
      <c r="H41" s="84"/>
      <c r="I41" s="161">
        <f>IF(AND(J$12&gt;0,J$21&gt;0),J41/J$9,"")</f>
        <v>0</v>
      </c>
      <c r="J41" s="162">
        <f>IF(AND(J12&gt;0,J21&gt;0),(J24*$J15*$J9/J21)/$J8,"")</f>
        <v>0</v>
      </c>
      <c r="K41" s="163">
        <f>IF(AND(J$12&gt;0,J$21&gt;0),J41*J$8,"")</f>
        <v>0</v>
      </c>
      <c r="L41" s="24"/>
    </row>
    <row r="42" spans="3:12" ht="16.5" customHeight="1">
      <c r="C42" s="116"/>
      <c r="D42" s="85" t="s">
        <v>150</v>
      </c>
      <c r="E42" s="85"/>
      <c r="F42" s="85"/>
      <c r="G42" s="85"/>
      <c r="H42" s="85"/>
      <c r="I42" s="164">
        <f>IF(AND(J$12&gt;0,J$21&gt;0),J42/J$9,"")</f>
        <v>0.03321428571428572</v>
      </c>
      <c r="J42" s="165">
        <f>IF(AND(J12&gt;0,J21&gt;0),SUM(J38:J41),"")</f>
        <v>3.9857142857142858</v>
      </c>
      <c r="K42" s="166">
        <f>IF(AND(J$12&gt;0,J$21&gt;0),J42*J$8,"")</f>
        <v>398.57142857142856</v>
      </c>
      <c r="L42" s="24"/>
    </row>
    <row r="43" spans="3:11" ht="16.5" customHeight="1">
      <c r="C43" s="281"/>
      <c r="D43" s="282"/>
      <c r="E43" s="282"/>
      <c r="F43" s="282"/>
      <c r="G43" s="282"/>
      <c r="H43" s="282"/>
      <c r="I43" s="283"/>
      <c r="J43" s="283"/>
      <c r="K43" s="283"/>
    </row>
    <row r="44" spans="3:12" ht="15">
      <c r="C44" s="176" t="s">
        <v>137</v>
      </c>
      <c r="D44" s="14"/>
      <c r="E44" s="14"/>
      <c r="F44" s="14"/>
      <c r="G44" s="14"/>
      <c r="H44" s="14"/>
      <c r="I44" s="152">
        <f>IF(AND(J12&gt;0,J21&gt;0),I35+I42,"")</f>
        <v>0.3144642857142857</v>
      </c>
      <c r="J44" s="153">
        <f>IF(AND(J12&gt;0,J21&gt;0),J35+J42,"")</f>
        <v>37.73571428571429</v>
      </c>
      <c r="K44" s="154">
        <f>IF(AND(J12&gt;0,J21&gt;0),K35+K42,"")</f>
        <v>3773.5714285714284</v>
      </c>
      <c r="L44" s="25"/>
    </row>
    <row r="45" spans="3:13" ht="4.5" customHeight="1">
      <c r="C45" s="177"/>
      <c r="D45" s="27"/>
      <c r="E45" s="27"/>
      <c r="F45" s="27"/>
      <c r="G45" s="27"/>
      <c r="H45" s="27"/>
      <c r="I45" s="178"/>
      <c r="J45" s="178"/>
      <c r="K45" s="179"/>
      <c r="L45" s="27"/>
      <c r="M45" s="22"/>
    </row>
    <row r="46" spans="3:12" ht="15">
      <c r="C46" s="180" t="s">
        <v>85</v>
      </c>
      <c r="D46" s="22"/>
      <c r="E46" s="22"/>
      <c r="F46" s="22"/>
      <c r="G46" s="22"/>
      <c r="H46" s="22"/>
      <c r="I46" s="181"/>
      <c r="J46" s="181">
        <f>IF(AND(J12&gt;0,J21&gt;0),J35/J44,"")</f>
        <v>0.8943781942078364</v>
      </c>
      <c r="K46" s="182"/>
      <c r="L46" s="28"/>
    </row>
    <row r="47" spans="3:12" ht="4.5" customHeight="1">
      <c r="C47" s="117"/>
      <c r="D47" s="14"/>
      <c r="E47" s="14"/>
      <c r="F47" s="14"/>
      <c r="G47" s="14"/>
      <c r="H47" s="14"/>
      <c r="I47" s="14"/>
      <c r="J47" s="183"/>
      <c r="K47" s="184"/>
      <c r="L47" s="28"/>
    </row>
    <row r="48" spans="3:4" ht="16.5" customHeight="1">
      <c r="C48" s="22"/>
      <c r="D48" s="22"/>
    </row>
    <row r="49" spans="3:4" ht="16.5" customHeight="1">
      <c r="C49" s="45"/>
      <c r="D49" s="22"/>
    </row>
    <row r="50" spans="3:12" ht="16.5" customHeight="1">
      <c r="C50" s="22"/>
      <c r="D50" s="22"/>
      <c r="J50" s="29"/>
      <c r="K50" s="29"/>
      <c r="L50" s="29"/>
    </row>
    <row r="51" spans="3:12" ht="16.5" customHeight="1">
      <c r="C51" s="22"/>
      <c r="D51" s="22"/>
      <c r="I51" s="30"/>
      <c r="J51" s="30"/>
      <c r="K51" s="30"/>
      <c r="L51" s="30"/>
    </row>
    <row r="52" spans="1:9" ht="16.5" customHeight="1">
      <c r="A52" s="22"/>
      <c r="B52" s="22"/>
      <c r="C52" s="22"/>
      <c r="D52" s="22"/>
      <c r="E52" s="22"/>
      <c r="F52" s="22"/>
      <c r="G52" s="22"/>
      <c r="H52" s="22"/>
      <c r="I52" s="22"/>
    </row>
    <row r="53" spans="3:4" ht="16.5" customHeight="1">
      <c r="C53" s="45"/>
      <c r="D53" s="22"/>
    </row>
    <row r="54" spans="3:12" ht="16.5" customHeight="1">
      <c r="C54" s="22"/>
      <c r="D54" s="64"/>
      <c r="I54" s="32"/>
      <c r="J54" s="32"/>
      <c r="K54" s="32"/>
      <c r="L54" s="47" t="s">
        <v>81</v>
      </c>
    </row>
    <row r="55" spans="3:12" ht="16.5" customHeight="1">
      <c r="C55" s="22"/>
      <c r="D55" s="64"/>
      <c r="I55" s="26"/>
      <c r="J55" s="26"/>
      <c r="K55" s="26"/>
      <c r="L55" s="26"/>
    </row>
    <row r="56" spans="3:12" ht="16.5" customHeight="1">
      <c r="C56" s="22"/>
      <c r="D56" s="64"/>
      <c r="I56" s="32"/>
      <c r="J56" s="32"/>
      <c r="K56" s="32"/>
      <c r="L56" s="32"/>
    </row>
    <row r="57" spans="3:12" ht="16.5" customHeight="1">
      <c r="C57" s="22"/>
      <c r="D57" s="64"/>
      <c r="I57" s="32"/>
      <c r="J57" s="32"/>
      <c r="K57" s="32"/>
      <c r="L57" s="32"/>
    </row>
    <row r="58" spans="4:12" ht="16.5" customHeight="1">
      <c r="D58" s="31"/>
      <c r="I58" s="32"/>
      <c r="J58" s="32"/>
      <c r="K58" s="32"/>
      <c r="L58" s="32"/>
    </row>
    <row r="59" s="22" customFormat="1" ht="16.5" customHeight="1"/>
    <row r="60" spans="10:11" ht="16.5" customHeight="1">
      <c r="J60" s="226"/>
      <c r="K60" s="60"/>
    </row>
    <row r="61" spans="3:11" s="287" customFormat="1" ht="39.75" customHeight="1" thickBot="1">
      <c r="C61" s="484" t="str">
        <f>Formulas!G98&amp;" feeding schedule for"&amp;" "&amp;H7</f>
        <v>CRYSTALYX VP®-30 feeding schedule for Clear Profit Ranch</v>
      </c>
      <c r="D61" s="484"/>
      <c r="E61" s="484"/>
      <c r="F61" s="484"/>
      <c r="G61" s="484"/>
      <c r="H61" s="484"/>
      <c r="I61" s="484"/>
      <c r="J61" s="288"/>
      <c r="K61" s="289"/>
    </row>
    <row r="62" spans="3:11" ht="16.5" customHeight="1" thickTop="1">
      <c r="C62" s="14"/>
      <c r="D62" s="14"/>
      <c r="E62" s="14"/>
      <c r="F62" s="14"/>
      <c r="G62" s="14"/>
      <c r="H62" s="14"/>
      <c r="I62" s="438"/>
      <c r="J62" s="438"/>
      <c r="K62" s="438"/>
    </row>
    <row r="63" spans="3:11" ht="16.5" customHeight="1">
      <c r="C63" s="242" t="s">
        <v>154</v>
      </c>
      <c r="D63" s="243"/>
      <c r="E63" s="243"/>
      <c r="F63" s="243"/>
      <c r="G63" s="243"/>
      <c r="H63" s="243"/>
      <c r="I63" s="235" t="s">
        <v>156</v>
      </c>
      <c r="J63" s="235" t="s">
        <v>157</v>
      </c>
      <c r="K63" s="235" t="s">
        <v>158</v>
      </c>
    </row>
    <row r="64" spans="3:12" ht="16.5" customHeight="1">
      <c r="C64" s="175"/>
      <c r="D64" s="121" t="s">
        <v>155</v>
      </c>
      <c r="E64" s="233"/>
      <c r="F64" s="233"/>
      <c r="G64" s="233"/>
      <c r="H64" s="233"/>
      <c r="I64" s="236">
        <f>J19</f>
        <v>0.75</v>
      </c>
      <c r="J64" s="236">
        <f>I64*J9</f>
        <v>90</v>
      </c>
      <c r="K64" s="237">
        <f>J64*J8</f>
        <v>9000</v>
      </c>
      <c r="L64" s="15"/>
    </row>
    <row r="65" spans="3:11" ht="16.5" customHeight="1">
      <c r="C65" s="284"/>
      <c r="D65" s="285"/>
      <c r="E65" s="285"/>
      <c r="F65" s="285"/>
      <c r="G65" s="285"/>
      <c r="H65" s="285"/>
      <c r="I65" s="285"/>
      <c r="J65" s="285"/>
      <c r="K65" s="286"/>
    </row>
    <row r="66" spans="3:12" ht="16.5" customHeight="1">
      <c r="C66" s="116"/>
      <c r="D66" s="230" t="s">
        <v>17</v>
      </c>
      <c r="E66" s="230"/>
      <c r="F66" s="230"/>
      <c r="G66" s="230"/>
      <c r="H66" s="84"/>
      <c r="I66" s="230"/>
      <c r="J66" s="238"/>
      <c r="K66" s="244">
        <v>39493</v>
      </c>
      <c r="L66" s="51"/>
    </row>
    <row r="67" spans="3:12" ht="16.5" customHeight="1">
      <c r="C67" s="116"/>
      <c r="D67" s="230" t="s">
        <v>18</v>
      </c>
      <c r="E67" s="230"/>
      <c r="F67" s="230"/>
      <c r="G67" s="230"/>
      <c r="H67" s="84"/>
      <c r="I67" s="230"/>
      <c r="J67" s="238"/>
      <c r="K67" s="245">
        <f>K66+J9</f>
        <v>39613</v>
      </c>
      <c r="L67" s="15"/>
    </row>
    <row r="68" spans="3:12" ht="20.25" customHeight="1">
      <c r="C68" s="116"/>
      <c r="D68" s="84" t="s">
        <v>65</v>
      </c>
      <c r="E68" s="84"/>
      <c r="F68" s="84"/>
      <c r="G68" s="84"/>
      <c r="H68" s="84"/>
      <c r="I68" s="84"/>
      <c r="J68" s="108"/>
      <c r="K68" s="246">
        <v>0</v>
      </c>
      <c r="L68" s="23"/>
    </row>
    <row r="69" spans="3:11" ht="16.5" customHeight="1">
      <c r="C69" s="116"/>
      <c r="D69" s="84" t="s">
        <v>202</v>
      </c>
      <c r="E69" s="84"/>
      <c r="F69" s="84"/>
      <c r="G69" s="84"/>
      <c r="H69" s="84"/>
      <c r="I69" s="84"/>
      <c r="J69" s="108"/>
      <c r="K69" s="247">
        <f>CEILING(K64/Formulas!K98,1)</f>
        <v>36</v>
      </c>
    </row>
    <row r="70" spans="3:12" ht="16.5" customHeight="1">
      <c r="C70" s="116"/>
      <c r="D70" s="84" t="s">
        <v>110</v>
      </c>
      <c r="E70" s="84"/>
      <c r="F70" s="84"/>
      <c r="G70" s="84"/>
      <c r="H70" s="84"/>
      <c r="I70" s="84"/>
      <c r="J70" s="108"/>
      <c r="K70" s="248">
        <f>J21</f>
        <v>14</v>
      </c>
      <c r="L70" s="23"/>
    </row>
    <row r="71" spans="3:11" ht="16.5" customHeight="1">
      <c r="C71" s="116"/>
      <c r="D71" s="84" t="s">
        <v>8</v>
      </c>
      <c r="E71" s="84"/>
      <c r="F71" s="84"/>
      <c r="G71" s="84"/>
      <c r="H71" s="84"/>
      <c r="I71" s="231"/>
      <c r="J71" s="239"/>
      <c r="K71" s="247" t="str">
        <f>IF(Formulas!F15=Formulas!F16,Formulas!F15,Formulas!F15&amp;" - "&amp;Formulas!F16)</f>
        <v>4 - 5</v>
      </c>
    </row>
    <row r="72" spans="3:12" ht="16.5" customHeight="1">
      <c r="C72" s="116"/>
      <c r="D72" s="92" t="s">
        <v>125</v>
      </c>
      <c r="E72" s="92"/>
      <c r="F72" s="92"/>
      <c r="G72" s="92"/>
      <c r="H72" s="92"/>
      <c r="I72" s="232"/>
      <c r="J72" s="240"/>
      <c r="K72" s="249" t="str">
        <f>IF(Formulas!F17=Formulas!F18,Formulas!F17,Formulas!F17&amp;" - "&amp;Formulas!F18)</f>
        <v>25 - 20</v>
      </c>
      <c r="L72" s="31"/>
    </row>
    <row r="73" spans="3:12" ht="4.5" customHeight="1">
      <c r="C73" s="116"/>
      <c r="D73" s="22"/>
      <c r="E73" s="22"/>
      <c r="F73" s="22"/>
      <c r="G73" s="22"/>
      <c r="H73" s="22"/>
      <c r="I73" s="234"/>
      <c r="J73" s="241"/>
      <c r="K73" s="250"/>
      <c r="L73" s="24"/>
    </row>
    <row r="74" spans="3:12" ht="16.5" customHeight="1">
      <c r="C74" s="472" t="str">
        <f>"Projected supplement schedule for "&amp;VALUE(J8)&amp;" head of livestock consuming "&amp;VALUE(J19)&amp;" pounds per head per day of "&amp;Formulas!G98&amp;" from "&amp;Formulas!F4&amp;" "&amp;Formulas!G4&amp;", "&amp;Formulas!H4&amp;" to "&amp;Formulas!F5&amp;" "&amp;Formulas!G5&amp;", "&amp;Formulas!H5&amp;"."</f>
        <v>Projected supplement schedule for 100 head of livestock consuming 0.75 pounds per head per day of CRYSTALYX VP®-30 from Feb 15, 2008 to Jun 14, 2008.</v>
      </c>
      <c r="D74" s="473"/>
      <c r="E74" s="473"/>
      <c r="F74" s="473"/>
      <c r="G74" s="473"/>
      <c r="H74" s="473"/>
      <c r="I74" s="473"/>
      <c r="J74" s="473"/>
      <c r="K74" s="474"/>
      <c r="L74" s="24"/>
    </row>
    <row r="75" spans="3:11" ht="16.5" customHeight="1">
      <c r="C75" s="475"/>
      <c r="D75" s="476"/>
      <c r="E75" s="476"/>
      <c r="F75" s="476"/>
      <c r="G75" s="476"/>
      <c r="H75" s="476"/>
      <c r="I75" s="476"/>
      <c r="J75" s="476"/>
      <c r="K75" s="477"/>
    </row>
    <row r="76" spans="3:12" ht="16.5" customHeight="1">
      <c r="C76" s="478"/>
      <c r="D76" s="479"/>
      <c r="E76" s="479"/>
      <c r="F76" s="479"/>
      <c r="G76" s="479"/>
      <c r="H76" s="479"/>
      <c r="I76" s="479"/>
      <c r="J76" s="479"/>
      <c r="K76" s="480"/>
      <c r="L76" s="25"/>
    </row>
    <row r="77" ht="16.5" customHeight="1" thickBot="1"/>
    <row r="78" spans="3:12" ht="16.5" customHeight="1">
      <c r="C78" s="419"/>
      <c r="D78" s="420"/>
      <c r="E78" s="420"/>
      <c r="F78" s="420"/>
      <c r="G78" s="459" t="s">
        <v>69</v>
      </c>
      <c r="H78" s="420"/>
      <c r="I78" s="459" t="s">
        <v>70</v>
      </c>
      <c r="J78" s="460"/>
      <c r="K78" s="421"/>
      <c r="L78" s="25"/>
    </row>
    <row r="79" spans="3:11" ht="16.5" customHeight="1">
      <c r="C79" s="22"/>
      <c r="D79" s="52"/>
      <c r="E79" s="52"/>
      <c r="F79" s="52"/>
      <c r="G79" s="461"/>
      <c r="H79" s="452" t="s">
        <v>126</v>
      </c>
      <c r="I79" s="461"/>
      <c r="J79" s="461"/>
      <c r="K79" s="454" t="s">
        <v>127</v>
      </c>
    </row>
    <row r="80" spans="3:11" ht="16.5" customHeight="1">
      <c r="C80" s="22"/>
      <c r="D80" s="456" t="s">
        <v>124</v>
      </c>
      <c r="E80" s="456"/>
      <c r="F80" s="456"/>
      <c r="G80" s="461"/>
      <c r="H80" s="453"/>
      <c r="I80" s="461"/>
      <c r="J80" s="461"/>
      <c r="K80" s="455"/>
    </row>
    <row r="81" spans="3:11" ht="16.5" customHeight="1">
      <c r="C81" s="61">
        <f>Formulas!F16</f>
        <v>5</v>
      </c>
      <c r="D81" s="58">
        <v>1</v>
      </c>
      <c r="E81" s="54">
        <f>K66</f>
        <v>39493</v>
      </c>
      <c r="F81" s="81">
        <f>K66</f>
        <v>39493</v>
      </c>
      <c r="G81" s="68">
        <v>0</v>
      </c>
      <c r="H81" s="62">
        <f>C81</f>
        <v>5</v>
      </c>
      <c r="I81" s="457">
        <f>H81*Formulas!K$98-Formulas!F$10*(E82-E81)</f>
        <v>200</v>
      </c>
      <c r="J81" s="458"/>
      <c r="K81" s="63">
        <f>H81</f>
        <v>5</v>
      </c>
    </row>
    <row r="82" spans="3:11" ht="16.5" customHeight="1">
      <c r="C82" s="61">
        <f>Formulas!F15</f>
        <v>4</v>
      </c>
      <c r="D82" s="58">
        <f>IF(E82&lt;K$67,D81+1,0)</f>
        <v>2</v>
      </c>
      <c r="E82" s="54">
        <f>IF(E81+K$70&lt;K$67,E81+K$70,K$67)</f>
        <v>39507</v>
      </c>
      <c r="F82" s="81">
        <f aca="true" t="shared" si="0" ref="F82:F100">IF(E82&lt;K$67,E82,"")</f>
        <v>39507</v>
      </c>
      <c r="G82" s="68">
        <f>IF(D82&gt;0,I81,"")</f>
        <v>200</v>
      </c>
      <c r="H82" s="62">
        <f>IF(E82&lt;K$67,IF(K$69-K81&gt;C82,C82,K$69-K81),"")</f>
        <v>4</v>
      </c>
      <c r="I82" s="450">
        <f>IF(D82&gt;0,G82+H82*Formulas!K$98-Formulas!F$10*(E83-E82),"")</f>
        <v>150</v>
      </c>
      <c r="J82" s="451"/>
      <c r="K82" s="63">
        <f aca="true" t="shared" si="1" ref="K82:K100">IF(E82&lt;K$67,K81+H82,0)</f>
        <v>9</v>
      </c>
    </row>
    <row r="83" spans="3:11" ht="16.5" customHeight="1">
      <c r="C83" s="61">
        <f>C81</f>
        <v>5</v>
      </c>
      <c r="D83" s="58">
        <f aca="true" t="shared" si="2" ref="D83:D100">IF(E83&lt;K$67,D82+1,0)</f>
        <v>3</v>
      </c>
      <c r="E83" s="54">
        <f aca="true" t="shared" si="3" ref="E83:E100">IF(E82+K$70&lt;K$67,E82+K$70,K$67)</f>
        <v>39521</v>
      </c>
      <c r="F83" s="81">
        <f t="shared" si="0"/>
        <v>39521</v>
      </c>
      <c r="G83" s="68">
        <f>IF(D83&gt;0,I82,"")</f>
        <v>150</v>
      </c>
      <c r="H83" s="62">
        <f aca="true" t="shared" si="4" ref="H83:H100">IF(E83&lt;K$67,IF(K$69-K82&gt;C83,C83,K$69-K82),"")</f>
        <v>5</v>
      </c>
      <c r="I83" s="450">
        <f>IF(D83&gt;0,G83+H83*Formulas!K$98-Formulas!F$10*(E84-E83),"")</f>
        <v>350</v>
      </c>
      <c r="J83" s="451"/>
      <c r="K83" s="63">
        <f t="shared" si="1"/>
        <v>14</v>
      </c>
    </row>
    <row r="84" spans="3:11" ht="16.5" customHeight="1">
      <c r="C84" s="61">
        <f aca="true" t="shared" si="5" ref="C84:C100">C82</f>
        <v>4</v>
      </c>
      <c r="D84" s="58">
        <f t="shared" si="2"/>
        <v>4</v>
      </c>
      <c r="E84" s="54">
        <f t="shared" si="3"/>
        <v>39535</v>
      </c>
      <c r="F84" s="81">
        <f t="shared" si="0"/>
        <v>39535</v>
      </c>
      <c r="G84" s="68">
        <f>IF(D84&gt;0,I83,"")</f>
        <v>350</v>
      </c>
      <c r="H84" s="62">
        <f t="shared" si="4"/>
        <v>4</v>
      </c>
      <c r="I84" s="450">
        <f>IF(D84&gt;0,G84+H84*Formulas!K$98-Formulas!F$10*(E85-E84),"")</f>
        <v>300</v>
      </c>
      <c r="J84" s="451"/>
      <c r="K84" s="63">
        <f t="shared" si="1"/>
        <v>18</v>
      </c>
    </row>
    <row r="85" spans="3:11" ht="16.5" customHeight="1">
      <c r="C85" s="61">
        <f t="shared" si="5"/>
        <v>5</v>
      </c>
      <c r="D85" s="58">
        <f t="shared" si="2"/>
        <v>5</v>
      </c>
      <c r="E85" s="54">
        <f t="shared" si="3"/>
        <v>39549</v>
      </c>
      <c r="F85" s="81">
        <f t="shared" si="0"/>
        <v>39549</v>
      </c>
      <c r="G85" s="68">
        <f aca="true" t="shared" si="6" ref="G85:G100">IF(D85&gt;0,I84,"")</f>
        <v>300</v>
      </c>
      <c r="H85" s="62">
        <f t="shared" si="4"/>
        <v>5</v>
      </c>
      <c r="I85" s="450">
        <f>IF(D85&gt;0,G85+H85*Formulas!K$98-Formulas!F$10*(E86-E85),"")</f>
        <v>500</v>
      </c>
      <c r="J85" s="451"/>
      <c r="K85" s="63">
        <f t="shared" si="1"/>
        <v>23</v>
      </c>
    </row>
    <row r="86" spans="3:11" ht="16.5" customHeight="1">
      <c r="C86" s="61">
        <f t="shared" si="5"/>
        <v>4</v>
      </c>
      <c r="D86" s="58">
        <f t="shared" si="2"/>
        <v>6</v>
      </c>
      <c r="E86" s="54">
        <f t="shared" si="3"/>
        <v>39563</v>
      </c>
      <c r="F86" s="81">
        <f t="shared" si="0"/>
        <v>39563</v>
      </c>
      <c r="G86" s="68">
        <f t="shared" si="6"/>
        <v>500</v>
      </c>
      <c r="H86" s="62">
        <f t="shared" si="4"/>
        <v>4</v>
      </c>
      <c r="I86" s="450">
        <f>IF(D86&gt;0,G86+H86*Formulas!K$98-Formulas!F$10*(E87-E86),"")</f>
        <v>450</v>
      </c>
      <c r="J86" s="451"/>
      <c r="K86" s="63">
        <f t="shared" si="1"/>
        <v>27</v>
      </c>
    </row>
    <row r="87" spans="3:11" ht="16.5" customHeight="1">
      <c r="C87" s="61">
        <f t="shared" si="5"/>
        <v>5</v>
      </c>
      <c r="D87" s="58">
        <f t="shared" si="2"/>
        <v>7</v>
      </c>
      <c r="E87" s="54">
        <f t="shared" si="3"/>
        <v>39577</v>
      </c>
      <c r="F87" s="81">
        <f t="shared" si="0"/>
        <v>39577</v>
      </c>
      <c r="G87" s="68">
        <f t="shared" si="6"/>
        <v>450</v>
      </c>
      <c r="H87" s="62">
        <f t="shared" si="4"/>
        <v>5</v>
      </c>
      <c r="I87" s="450">
        <f>IF(D87&gt;0,G87+H87*Formulas!K$98-Formulas!F$10*(E88-E87),"")</f>
        <v>650</v>
      </c>
      <c r="J87" s="451"/>
      <c r="K87" s="63">
        <f t="shared" si="1"/>
        <v>32</v>
      </c>
    </row>
    <row r="88" spans="3:11" ht="16.5" customHeight="1">
      <c r="C88" s="61">
        <f t="shared" si="5"/>
        <v>4</v>
      </c>
      <c r="D88" s="58">
        <f t="shared" si="2"/>
        <v>8</v>
      </c>
      <c r="E88" s="54">
        <f t="shared" si="3"/>
        <v>39591</v>
      </c>
      <c r="F88" s="81">
        <f t="shared" si="0"/>
        <v>39591</v>
      </c>
      <c r="G88" s="68">
        <f t="shared" si="6"/>
        <v>650</v>
      </c>
      <c r="H88" s="62">
        <f t="shared" si="4"/>
        <v>4</v>
      </c>
      <c r="I88" s="450">
        <f>IF(D88&gt;0,G88+H88*Formulas!K$98-Formulas!F$10*(E89-E88),"")</f>
        <v>600</v>
      </c>
      <c r="J88" s="451"/>
      <c r="K88" s="63">
        <f t="shared" si="1"/>
        <v>36</v>
      </c>
    </row>
    <row r="89" spans="3:11" ht="16.5" customHeight="1">
      <c r="C89" s="61">
        <f t="shared" si="5"/>
        <v>5</v>
      </c>
      <c r="D89" s="58">
        <f t="shared" si="2"/>
        <v>9</v>
      </c>
      <c r="E89" s="54">
        <f t="shared" si="3"/>
        <v>39605</v>
      </c>
      <c r="F89" s="81">
        <f t="shared" si="0"/>
        <v>39605</v>
      </c>
      <c r="G89" s="68">
        <f t="shared" si="6"/>
        <v>600</v>
      </c>
      <c r="H89" s="62">
        <f t="shared" si="4"/>
        <v>0</v>
      </c>
      <c r="I89" s="450">
        <f>IF(D89&gt;0,G89+H89*Formulas!K$98-Formulas!F$10*(E90-E89),"")</f>
        <v>0</v>
      </c>
      <c r="J89" s="451"/>
      <c r="K89" s="63">
        <f t="shared" si="1"/>
        <v>36</v>
      </c>
    </row>
    <row r="90" spans="3:11" ht="16.5" customHeight="1">
      <c r="C90" s="61">
        <f t="shared" si="5"/>
        <v>4</v>
      </c>
      <c r="D90" s="58">
        <f t="shared" si="2"/>
        <v>0</v>
      </c>
      <c r="E90" s="54">
        <f t="shared" si="3"/>
        <v>39613</v>
      </c>
      <c r="F90" s="81">
        <f t="shared" si="0"/>
      </c>
      <c r="G90" s="68">
        <f t="shared" si="6"/>
      </c>
      <c r="H90" s="62">
        <f t="shared" si="4"/>
      </c>
      <c r="I90" s="450">
        <f>IF(D90&gt;0,G90+H90*Formulas!K$98-Formulas!F$10*(E91-E90),"")</f>
      </c>
      <c r="J90" s="451"/>
      <c r="K90" s="63">
        <f t="shared" si="1"/>
        <v>0</v>
      </c>
    </row>
    <row r="91" spans="3:11" ht="16.5" customHeight="1">
      <c r="C91" s="61">
        <f t="shared" si="5"/>
        <v>5</v>
      </c>
      <c r="D91" s="58">
        <f t="shared" si="2"/>
        <v>0</v>
      </c>
      <c r="E91" s="54">
        <f t="shared" si="3"/>
        <v>39613</v>
      </c>
      <c r="F91" s="81">
        <f t="shared" si="0"/>
      </c>
      <c r="G91" s="68">
        <f t="shared" si="6"/>
      </c>
      <c r="H91" s="62">
        <f t="shared" si="4"/>
      </c>
      <c r="I91" s="450">
        <f>IF(D91&gt;0,G91+H91*Formulas!K$98-Formulas!F$10*(E92-E91),"")</f>
      </c>
      <c r="J91" s="451"/>
      <c r="K91" s="63">
        <f t="shared" si="1"/>
        <v>0</v>
      </c>
    </row>
    <row r="92" spans="3:11" ht="16.5" customHeight="1">
      <c r="C92" s="61">
        <f t="shared" si="5"/>
        <v>4</v>
      </c>
      <c r="D92" s="58">
        <f t="shared" si="2"/>
        <v>0</v>
      </c>
      <c r="E92" s="54">
        <f t="shared" si="3"/>
        <v>39613</v>
      </c>
      <c r="F92" s="81">
        <f t="shared" si="0"/>
      </c>
      <c r="G92" s="68">
        <f t="shared" si="6"/>
      </c>
      <c r="H92" s="62">
        <f t="shared" si="4"/>
      </c>
      <c r="I92" s="450">
        <f>IF(D92&gt;0,G92+H92*Formulas!K$98-Formulas!F$10*(E93-E92),"")</f>
      </c>
      <c r="J92" s="451"/>
      <c r="K92" s="63">
        <f t="shared" si="1"/>
        <v>0</v>
      </c>
    </row>
    <row r="93" spans="3:11" ht="16.5" customHeight="1">
      <c r="C93" s="61">
        <f t="shared" si="5"/>
        <v>5</v>
      </c>
      <c r="D93" s="58">
        <f t="shared" si="2"/>
        <v>0</v>
      </c>
      <c r="E93" s="54">
        <f t="shared" si="3"/>
        <v>39613</v>
      </c>
      <c r="F93" s="81">
        <f t="shared" si="0"/>
      </c>
      <c r="G93" s="68">
        <f t="shared" si="6"/>
      </c>
      <c r="H93" s="62">
        <f t="shared" si="4"/>
      </c>
      <c r="I93" s="450">
        <f>IF(D93&gt;0,G93+H93*Formulas!K$98-Formulas!F$10*(E94-E93),"")</f>
      </c>
      <c r="J93" s="451"/>
      <c r="K93" s="63">
        <f t="shared" si="1"/>
        <v>0</v>
      </c>
    </row>
    <row r="94" spans="3:11" ht="16.5" customHeight="1">
      <c r="C94" s="61">
        <f t="shared" si="5"/>
        <v>4</v>
      </c>
      <c r="D94" s="58">
        <f t="shared" si="2"/>
        <v>0</v>
      </c>
      <c r="E94" s="54">
        <f t="shared" si="3"/>
        <v>39613</v>
      </c>
      <c r="F94" s="81">
        <f t="shared" si="0"/>
      </c>
      <c r="G94" s="68">
        <f t="shared" si="6"/>
      </c>
      <c r="H94" s="62">
        <f t="shared" si="4"/>
      </c>
      <c r="I94" s="450">
        <f>IF(D94&gt;0,G94+H94*Formulas!K$98-Formulas!F$10*(E95-E94),"")</f>
      </c>
      <c r="J94" s="451"/>
      <c r="K94" s="63">
        <f t="shared" si="1"/>
        <v>0</v>
      </c>
    </row>
    <row r="95" spans="3:11" ht="16.5" customHeight="1">
      <c r="C95" s="61">
        <f t="shared" si="5"/>
        <v>5</v>
      </c>
      <c r="D95" s="58">
        <f t="shared" si="2"/>
        <v>0</v>
      </c>
      <c r="E95" s="54">
        <f t="shared" si="3"/>
        <v>39613</v>
      </c>
      <c r="F95" s="81">
        <f t="shared" si="0"/>
      </c>
      <c r="G95" s="68">
        <f t="shared" si="6"/>
      </c>
      <c r="H95" s="62">
        <f t="shared" si="4"/>
      </c>
      <c r="I95" s="450">
        <f>IF(D95&gt;0,G95+H95*Formulas!K$98-Formulas!F$10*(E96-E95),"")</f>
      </c>
      <c r="J95" s="451"/>
      <c r="K95" s="63">
        <f t="shared" si="1"/>
        <v>0</v>
      </c>
    </row>
    <row r="96" spans="3:11" ht="16.5" customHeight="1">
      <c r="C96" s="61">
        <f t="shared" si="5"/>
        <v>4</v>
      </c>
      <c r="D96" s="58">
        <f t="shared" si="2"/>
        <v>0</v>
      </c>
      <c r="E96" s="54">
        <f t="shared" si="3"/>
        <v>39613</v>
      </c>
      <c r="F96" s="81">
        <f t="shared" si="0"/>
      </c>
      <c r="G96" s="68">
        <f t="shared" si="6"/>
      </c>
      <c r="H96" s="62">
        <f t="shared" si="4"/>
      </c>
      <c r="I96" s="450">
        <f>IF(D96&gt;0,G96+H96*Formulas!K$98-Formulas!F$10*(E97-E96),"")</f>
      </c>
      <c r="J96" s="451"/>
      <c r="K96" s="63">
        <f t="shared" si="1"/>
        <v>0</v>
      </c>
    </row>
    <row r="97" spans="3:11" ht="16.5" customHeight="1">
      <c r="C97" s="61">
        <f t="shared" si="5"/>
        <v>5</v>
      </c>
      <c r="D97" s="58">
        <f t="shared" si="2"/>
        <v>0</v>
      </c>
      <c r="E97" s="54">
        <f t="shared" si="3"/>
        <v>39613</v>
      </c>
      <c r="F97" s="81">
        <f t="shared" si="0"/>
      </c>
      <c r="G97" s="68">
        <f t="shared" si="6"/>
      </c>
      <c r="H97" s="62">
        <f t="shared" si="4"/>
      </c>
      <c r="I97" s="450">
        <f>IF(D97&gt;0,G97+H97*Formulas!K$98-Formulas!F$10*(E98-E97),"")</f>
      </c>
      <c r="J97" s="451"/>
      <c r="K97" s="63">
        <f t="shared" si="1"/>
        <v>0</v>
      </c>
    </row>
    <row r="98" spans="3:11" ht="16.5" customHeight="1">
      <c r="C98" s="61">
        <f t="shared" si="5"/>
        <v>4</v>
      </c>
      <c r="D98" s="58">
        <f t="shared" si="2"/>
        <v>0</v>
      </c>
      <c r="E98" s="54">
        <f t="shared" si="3"/>
        <v>39613</v>
      </c>
      <c r="F98" s="81">
        <f t="shared" si="0"/>
      </c>
      <c r="G98" s="68">
        <f t="shared" si="6"/>
      </c>
      <c r="H98" s="62">
        <f t="shared" si="4"/>
      </c>
      <c r="I98" s="450">
        <f>IF(D98&gt;0,G98+H98*Formulas!K$98-Formulas!F$10*(E99-E98),"")</f>
      </c>
      <c r="J98" s="451"/>
      <c r="K98" s="63">
        <f t="shared" si="1"/>
        <v>0</v>
      </c>
    </row>
    <row r="99" spans="3:11" ht="16.5" customHeight="1">
      <c r="C99" s="61">
        <f t="shared" si="5"/>
        <v>5</v>
      </c>
      <c r="D99" s="58">
        <f t="shared" si="2"/>
        <v>0</v>
      </c>
      <c r="E99" s="54">
        <f t="shared" si="3"/>
        <v>39613</v>
      </c>
      <c r="F99" s="81">
        <f t="shared" si="0"/>
      </c>
      <c r="G99" s="68">
        <f t="shared" si="6"/>
      </c>
      <c r="H99" s="62">
        <f t="shared" si="4"/>
      </c>
      <c r="I99" s="450">
        <f>IF(D99&gt;0,G99+H99*Formulas!K$98-Formulas!F$10*(E100-E99),"")</f>
      </c>
      <c r="J99" s="451"/>
      <c r="K99" s="63">
        <f t="shared" si="1"/>
        <v>0</v>
      </c>
    </row>
    <row r="100" spans="3:11" ht="16.5" customHeight="1">
      <c r="C100" s="61">
        <f t="shared" si="5"/>
        <v>4</v>
      </c>
      <c r="D100" s="58">
        <f t="shared" si="2"/>
        <v>0</v>
      </c>
      <c r="E100" s="54">
        <f t="shared" si="3"/>
        <v>39613</v>
      </c>
      <c r="F100" s="81">
        <f t="shared" si="0"/>
      </c>
      <c r="G100" s="68">
        <f t="shared" si="6"/>
      </c>
      <c r="H100" s="62">
        <f t="shared" si="4"/>
      </c>
      <c r="I100" s="450">
        <f>IF(D100&gt;0,G100+H100*Formulas!K$98-Formulas!F$10*(E101-E100),"")</f>
      </c>
      <c r="J100" s="451"/>
      <c r="K100" s="63">
        <f t="shared" si="1"/>
        <v>0</v>
      </c>
    </row>
    <row r="101" spans="3:11" ht="16.5" customHeight="1" thickBot="1">
      <c r="C101" s="12"/>
      <c r="D101" s="53"/>
      <c r="E101" s="12"/>
      <c r="F101" s="12"/>
      <c r="G101" s="67"/>
      <c r="H101" s="12"/>
      <c r="I101" s="67"/>
      <c r="J101" s="67"/>
      <c r="K101" s="12"/>
    </row>
    <row r="102" spans="3:11" ht="16.5" customHeight="1">
      <c r="C102" s="485" t="s">
        <v>41</v>
      </c>
      <c r="D102" s="486"/>
      <c r="E102" s="486"/>
      <c r="F102" s="486"/>
      <c r="G102" s="486"/>
      <c r="H102" s="486"/>
      <c r="I102" s="486"/>
      <c r="J102" s="486"/>
      <c r="K102" s="486"/>
    </row>
    <row r="103" spans="3:11" ht="16.5" customHeight="1">
      <c r="C103" s="487"/>
      <c r="D103" s="487"/>
      <c r="E103" s="487"/>
      <c r="F103" s="487"/>
      <c r="G103" s="487"/>
      <c r="H103" s="487"/>
      <c r="I103" s="487"/>
      <c r="J103" s="487"/>
      <c r="K103" s="487"/>
    </row>
    <row r="104" spans="3:11" ht="16.5" customHeight="1">
      <c r="C104" s="487"/>
      <c r="D104" s="487"/>
      <c r="E104" s="487"/>
      <c r="F104" s="487"/>
      <c r="G104" s="487"/>
      <c r="H104" s="487"/>
      <c r="I104" s="487"/>
      <c r="J104" s="487"/>
      <c r="K104" s="487"/>
    </row>
    <row r="105" spans="3:11" ht="16.5" customHeight="1">
      <c r="C105" s="428"/>
      <c r="D105" s="428"/>
      <c r="E105" s="428"/>
      <c r="F105" s="428"/>
      <c r="G105" s="428"/>
      <c r="H105" s="428"/>
      <c r="I105" s="428"/>
      <c r="J105" s="428"/>
      <c r="K105" s="428"/>
    </row>
    <row r="107" spans="4:12" ht="16.5" customHeight="1">
      <c r="D107" s="15"/>
      <c r="E107" s="15"/>
      <c r="F107" s="15"/>
      <c r="G107" s="15"/>
      <c r="H107" s="15"/>
      <c r="I107" s="15"/>
      <c r="J107" s="15"/>
      <c r="K107" s="15"/>
      <c r="L107" s="15"/>
    </row>
    <row r="110" spans="4:12" ht="16.5" customHeight="1">
      <c r="D110" s="15"/>
      <c r="E110" s="15"/>
      <c r="F110" s="15"/>
      <c r="G110" s="15"/>
      <c r="I110" s="15"/>
      <c r="J110" s="15"/>
      <c r="K110" s="15"/>
      <c r="L110" s="15"/>
    </row>
    <row r="111" spans="9:12" ht="16.5" customHeight="1">
      <c r="I111" s="24"/>
      <c r="J111" s="24"/>
      <c r="K111" s="24"/>
      <c r="L111" s="24"/>
    </row>
    <row r="112" spans="9:12" ht="16.5" customHeight="1">
      <c r="I112" s="36"/>
      <c r="J112" s="36"/>
      <c r="K112" s="36"/>
      <c r="L112" s="36"/>
    </row>
    <row r="113" spans="9:12" ht="16.5" customHeight="1">
      <c r="I113" s="36"/>
      <c r="J113" s="36"/>
      <c r="K113" s="36"/>
      <c r="L113" s="36"/>
    </row>
    <row r="114" spans="9:12" ht="16.5" customHeight="1">
      <c r="I114" s="24"/>
      <c r="J114" s="24"/>
      <c r="K114" s="24"/>
      <c r="L114" s="24"/>
    </row>
    <row r="115" spans="9:12" ht="16.5" customHeight="1">
      <c r="I115" s="37"/>
      <c r="J115" s="37"/>
      <c r="K115" s="37"/>
      <c r="L115" s="37"/>
    </row>
    <row r="116" spans="9:12" ht="16.5" customHeight="1">
      <c r="I116" s="24"/>
      <c r="J116" s="24"/>
      <c r="K116" s="24"/>
      <c r="L116" s="24"/>
    </row>
    <row r="117" spans="9:12" ht="16.5" customHeight="1">
      <c r="I117" s="24"/>
      <c r="J117" s="24"/>
      <c r="K117" s="24"/>
      <c r="L117" s="24"/>
    </row>
    <row r="118" spans="9:12" ht="16.5" customHeight="1">
      <c r="I118" s="24"/>
      <c r="J118" s="24"/>
      <c r="K118" s="24"/>
      <c r="L118" s="24"/>
    </row>
    <row r="119" spans="9:12" ht="16.5" customHeight="1">
      <c r="I119" s="34"/>
      <c r="J119" s="34"/>
      <c r="K119" s="34"/>
      <c r="L119" s="34"/>
    </row>
    <row r="120" spans="9:12" ht="16.5" customHeight="1">
      <c r="I120" s="34"/>
      <c r="J120" s="34"/>
      <c r="K120" s="34"/>
      <c r="L120" s="34"/>
    </row>
    <row r="121" spans="9:12" ht="16.5" customHeight="1">
      <c r="I121" s="34"/>
      <c r="J121" s="34"/>
      <c r="K121" s="34"/>
      <c r="L121" s="34"/>
    </row>
    <row r="122" spans="4:12" ht="16.5" customHeight="1">
      <c r="D122" s="15"/>
      <c r="E122" s="15"/>
      <c r="F122" s="15"/>
      <c r="G122" s="15"/>
      <c r="H122" s="15"/>
      <c r="I122" s="15"/>
      <c r="J122" s="15"/>
      <c r="K122" s="15"/>
      <c r="L122" s="15"/>
    </row>
    <row r="124" spans="5:7" ht="16.5" customHeight="1">
      <c r="E124" s="33"/>
      <c r="F124" s="33"/>
      <c r="G124" s="34"/>
    </row>
    <row r="127" spans="4:12" ht="16.5" customHeight="1">
      <c r="D127" s="15"/>
      <c r="E127" s="15"/>
      <c r="F127" s="15"/>
      <c r="G127" s="15"/>
      <c r="H127" s="15"/>
      <c r="I127" s="15"/>
      <c r="J127" s="15"/>
      <c r="K127" s="15"/>
      <c r="L127" s="15"/>
    </row>
    <row r="130" spans="4:12" ht="16.5" customHeight="1">
      <c r="D130" s="15"/>
      <c r="E130" s="15"/>
      <c r="F130" s="15"/>
      <c r="G130" s="15"/>
      <c r="I130" s="15"/>
      <c r="J130" s="15"/>
      <c r="K130" s="15"/>
      <c r="L130" s="15"/>
    </row>
    <row r="131" spans="9:12" ht="16.5" customHeight="1">
      <c r="I131" s="23"/>
      <c r="J131" s="23"/>
      <c r="K131" s="23"/>
      <c r="L131" s="23"/>
    </row>
    <row r="133" spans="9:12" ht="16.5" customHeight="1">
      <c r="I133" s="23"/>
      <c r="J133" s="23"/>
      <c r="K133" s="23"/>
      <c r="L133" s="23"/>
    </row>
    <row r="134" spans="9:12" ht="16.5" customHeight="1">
      <c r="I134" s="24"/>
      <c r="J134" s="24"/>
      <c r="K134" s="24"/>
      <c r="L134" s="24"/>
    </row>
    <row r="135" spans="9:12" ht="16.5" customHeight="1">
      <c r="I135" s="24"/>
      <c r="J135" s="24"/>
      <c r="K135" s="24"/>
      <c r="L135" s="24"/>
    </row>
    <row r="136" spans="9:12" ht="16.5" customHeight="1">
      <c r="I136" s="24"/>
      <c r="J136" s="24"/>
      <c r="K136" s="24"/>
      <c r="L136" s="24"/>
    </row>
    <row r="137" spans="9:12" ht="16.5" customHeight="1">
      <c r="I137" s="24"/>
      <c r="J137" s="24"/>
      <c r="K137" s="24"/>
      <c r="L137" s="24"/>
    </row>
    <row r="139" spans="9:12" ht="16.5" customHeight="1">
      <c r="I139" s="25"/>
      <c r="J139" s="25"/>
      <c r="K139" s="25"/>
      <c r="L139" s="25"/>
    </row>
    <row r="140" spans="9:12" ht="16.5" customHeight="1">
      <c r="I140" s="23"/>
      <c r="J140" s="23"/>
      <c r="K140" s="23"/>
      <c r="L140" s="23"/>
    </row>
    <row r="141" spans="9:12" ht="16.5" customHeight="1">
      <c r="I141" s="35"/>
      <c r="J141" s="35"/>
      <c r="K141" s="35"/>
      <c r="L141" s="35"/>
    </row>
    <row r="142" spans="4:12" ht="16.5" customHeight="1">
      <c r="D142" s="15"/>
      <c r="E142" s="15"/>
      <c r="F142" s="15"/>
      <c r="G142" s="15"/>
      <c r="H142" s="15"/>
      <c r="I142" s="15"/>
      <c r="J142" s="15"/>
      <c r="K142" s="15"/>
      <c r="L142" s="15"/>
    </row>
    <row r="143" spans="9:12" ht="16.5" customHeight="1">
      <c r="I143" s="28"/>
      <c r="J143" s="28"/>
      <c r="K143" s="28"/>
      <c r="L143" s="28"/>
    </row>
    <row r="147" spans="4:12" ht="16.5" customHeight="1">
      <c r="D147" s="15"/>
      <c r="E147" s="15"/>
      <c r="F147" s="15"/>
      <c r="G147" s="15"/>
      <c r="H147" s="15"/>
      <c r="I147" s="15"/>
      <c r="J147" s="15"/>
      <c r="K147" s="15"/>
      <c r="L147" s="15"/>
    </row>
    <row r="150" spans="4:12" ht="16.5" customHeight="1">
      <c r="D150" s="15"/>
      <c r="E150" s="15"/>
      <c r="F150" s="15"/>
      <c r="G150" s="15"/>
      <c r="I150" s="15"/>
      <c r="J150" s="15"/>
      <c r="K150" s="15"/>
      <c r="L150" s="15"/>
    </row>
    <row r="151" spans="9:12" ht="16.5" customHeight="1">
      <c r="I151" s="24"/>
      <c r="J151" s="24"/>
      <c r="K151" s="24"/>
      <c r="L151" s="24"/>
    </row>
    <row r="152" spans="9:12" ht="16.5" customHeight="1">
      <c r="I152" s="24"/>
      <c r="J152" s="24"/>
      <c r="K152" s="24"/>
      <c r="L152" s="24"/>
    </row>
    <row r="153" spans="9:12" ht="16.5" customHeight="1">
      <c r="I153" s="24"/>
      <c r="J153" s="24"/>
      <c r="K153" s="24"/>
      <c r="L153" s="24"/>
    </row>
    <row r="154" spans="4:12" ht="16.5" customHeight="1">
      <c r="D154" s="15"/>
      <c r="E154" s="15"/>
      <c r="F154" s="15"/>
      <c r="G154" s="15"/>
      <c r="H154" s="15"/>
      <c r="I154" s="15"/>
      <c r="J154" s="15"/>
      <c r="K154" s="15"/>
      <c r="L154" s="15"/>
    </row>
  </sheetData>
  <sheetProtection password="EE63" sheet="1" objects="1" scenarios="1"/>
  <mergeCells count="52">
    <mergeCell ref="H7:J7"/>
    <mergeCell ref="C61:I61"/>
    <mergeCell ref="I93:J93"/>
    <mergeCell ref="C102:K105"/>
    <mergeCell ref="I100:J100"/>
    <mergeCell ref="I94:J94"/>
    <mergeCell ref="I95:J95"/>
    <mergeCell ref="I96:J96"/>
    <mergeCell ref="I97:J97"/>
    <mergeCell ref="I98:J98"/>
    <mergeCell ref="I99:J99"/>
    <mergeCell ref="I33:K33"/>
    <mergeCell ref="D26:G26"/>
    <mergeCell ref="C31:K31"/>
    <mergeCell ref="C34:H34"/>
    <mergeCell ref="I85:J85"/>
    <mergeCell ref="I86:J86"/>
    <mergeCell ref="I87:J87"/>
    <mergeCell ref="C74:K76"/>
    <mergeCell ref="G78:G80"/>
    <mergeCell ref="I92:J92"/>
    <mergeCell ref="I81:J81"/>
    <mergeCell ref="I78:J80"/>
    <mergeCell ref="I82:J82"/>
    <mergeCell ref="I83:J83"/>
    <mergeCell ref="I88:J88"/>
    <mergeCell ref="I89:J89"/>
    <mergeCell ref="I90:J90"/>
    <mergeCell ref="I91:J91"/>
    <mergeCell ref="I84:J84"/>
    <mergeCell ref="D23:I23"/>
    <mergeCell ref="D25:I25"/>
    <mergeCell ref="H79:H80"/>
    <mergeCell ref="K79:K80"/>
    <mergeCell ref="D80:F80"/>
    <mergeCell ref="D10:I10"/>
    <mergeCell ref="D12:I12"/>
    <mergeCell ref="D19:I19"/>
    <mergeCell ref="D20:I20"/>
    <mergeCell ref="D15:I15"/>
    <mergeCell ref="D14:I14"/>
    <mergeCell ref="D16:K16"/>
    <mergeCell ref="D21:I21"/>
    <mergeCell ref="D7:G7"/>
    <mergeCell ref="I62:K62"/>
    <mergeCell ref="C6:K6"/>
    <mergeCell ref="C18:K18"/>
    <mergeCell ref="D13:I13"/>
    <mergeCell ref="D22:I22"/>
    <mergeCell ref="D9:I9"/>
    <mergeCell ref="D8:I8"/>
    <mergeCell ref="D24:I24"/>
  </mergeCells>
  <printOptions horizontalCentered="1"/>
  <pageMargins left="0.75" right="0.75" top="0.48" bottom="0.75" header="0" footer="0"/>
  <pageSetup fitToHeight="1" fitToWidth="1" horizontalDpi="600" verticalDpi="600" orientation="portrait" scale="27" r:id="rId4"/>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C3:S180"/>
  <sheetViews>
    <sheetView showGridLines="0" showOutlineSymbols="0" zoomScale="87" zoomScaleNormal="87" zoomScalePageLayoutView="0" workbookViewId="0" topLeftCell="A1">
      <selection activeCell="I16" sqref="I16:I18"/>
    </sheetView>
  </sheetViews>
  <sheetFormatPr defaultColWidth="8.6640625" defaultRowHeight="16.5" customHeight="1"/>
  <cols>
    <col min="1" max="1" width="3.6640625" style="13" customWidth="1"/>
    <col min="2" max="2" width="6.6640625" style="13" customWidth="1"/>
    <col min="3" max="3" width="1.66796875" style="13" customWidth="1"/>
    <col min="4" max="4" width="2.6640625" style="13" customWidth="1"/>
    <col min="5" max="5" width="4.6640625" style="13" customWidth="1"/>
    <col min="6" max="6" width="25.6640625" style="13" customWidth="1"/>
    <col min="7" max="7" width="1.66796875" style="13" customWidth="1"/>
    <col min="8" max="8" width="17.21484375" style="13" bestFit="1" customWidth="1"/>
    <col min="9" max="12" width="10.6640625" style="13" customWidth="1"/>
    <col min="13" max="13" width="8.6640625" style="13" customWidth="1"/>
    <col min="14" max="16384" width="8.6640625" style="13" customWidth="1"/>
  </cols>
  <sheetData>
    <row r="1" s="22" customFormat="1" ht="16.5" customHeight="1"/>
    <row r="2" ht="18.75" customHeight="1"/>
    <row r="3" spans="3:12" ht="16.5" customHeight="1">
      <c r="C3" s="488" t="s">
        <v>109</v>
      </c>
      <c r="D3" s="488"/>
      <c r="E3" s="488"/>
      <c r="F3" s="488"/>
      <c r="G3" s="488"/>
      <c r="H3" s="488"/>
      <c r="I3" s="22"/>
      <c r="J3" s="22"/>
      <c r="K3" s="22"/>
      <c r="L3" s="22"/>
    </row>
    <row r="4" ht="18.75" customHeight="1"/>
    <row r="5" spans="3:12" ht="16.5" customHeight="1">
      <c r="C5" s="439" t="s">
        <v>163</v>
      </c>
      <c r="D5" s="440"/>
      <c r="E5" s="440"/>
      <c r="F5" s="440"/>
      <c r="G5" s="440"/>
      <c r="H5" s="440"/>
      <c r="I5" s="440"/>
      <c r="J5" s="440"/>
      <c r="K5" s="440"/>
      <c r="L5" s="441"/>
    </row>
    <row r="6" spans="3:12" ht="16.5" customHeight="1">
      <c r="C6" s="185"/>
      <c r="D6" s="83" t="s">
        <v>103</v>
      </c>
      <c r="E6" s="149"/>
      <c r="F6" s="149"/>
      <c r="G6" s="106"/>
      <c r="H6" s="561" t="str">
        <f>Crystalyx®!H7</f>
        <v>Clear Profit Ranch</v>
      </c>
      <c r="I6" s="562"/>
      <c r="J6" s="489"/>
      <c r="K6" s="490"/>
      <c r="L6" s="491"/>
    </row>
    <row r="7" spans="3:12" ht="16.5" customHeight="1">
      <c r="C7" s="186"/>
      <c r="D7" s="434" t="s">
        <v>104</v>
      </c>
      <c r="E7" s="435"/>
      <c r="F7" s="435"/>
      <c r="G7" s="435"/>
      <c r="H7" s="442"/>
      <c r="I7" s="128">
        <f>Crystalyx®!J8</f>
        <v>100</v>
      </c>
      <c r="J7" s="492"/>
      <c r="K7" s="493"/>
      <c r="L7" s="494"/>
    </row>
    <row r="8" spans="3:12" ht="16.5" customHeight="1">
      <c r="C8" s="186"/>
      <c r="D8" s="434" t="s">
        <v>26</v>
      </c>
      <c r="E8" s="435"/>
      <c r="F8" s="435"/>
      <c r="G8" s="435"/>
      <c r="H8" s="435"/>
      <c r="I8" s="124">
        <f>Crystalyx®!J9</f>
        <v>120</v>
      </c>
      <c r="J8" s="492"/>
      <c r="K8" s="493"/>
      <c r="L8" s="494"/>
    </row>
    <row r="9" spans="3:12" ht="16.5" customHeight="1">
      <c r="C9" s="186"/>
      <c r="D9" s="434" t="s">
        <v>59</v>
      </c>
      <c r="E9" s="435"/>
      <c r="F9" s="435"/>
      <c r="G9" s="120"/>
      <c r="H9" s="84"/>
      <c r="I9" s="124">
        <f>Crystalyx®!J22</f>
        <v>30</v>
      </c>
      <c r="J9" s="492"/>
      <c r="K9" s="493"/>
      <c r="L9" s="494"/>
    </row>
    <row r="10" spans="3:12" ht="16.5" customHeight="1">
      <c r="C10" s="186"/>
      <c r="D10" s="434" t="s">
        <v>53</v>
      </c>
      <c r="E10" s="435"/>
      <c r="F10" s="435"/>
      <c r="G10" s="435"/>
      <c r="H10" s="435"/>
      <c r="I10" s="125">
        <f>Crystalyx®!J13</f>
        <v>12</v>
      </c>
      <c r="J10" s="492"/>
      <c r="K10" s="493"/>
      <c r="L10" s="494"/>
    </row>
    <row r="11" spans="3:12" ht="16.5" customHeight="1">
      <c r="C11" s="186"/>
      <c r="D11" s="434" t="s">
        <v>54</v>
      </c>
      <c r="E11" s="435"/>
      <c r="F11" s="435"/>
      <c r="G11" s="435"/>
      <c r="H11" s="435"/>
      <c r="I11" s="126">
        <f>Crystalyx®!J14</f>
        <v>0.75</v>
      </c>
      <c r="J11" s="492"/>
      <c r="K11" s="493"/>
      <c r="L11" s="494"/>
    </row>
    <row r="12" spans="3:12" ht="16.5" customHeight="1">
      <c r="C12" s="187"/>
      <c r="D12" s="445" t="s">
        <v>55</v>
      </c>
      <c r="E12" s="446"/>
      <c r="F12" s="446"/>
      <c r="G12" s="446"/>
      <c r="H12" s="446"/>
      <c r="I12" s="127">
        <f>Crystalyx®!J15</f>
        <v>25</v>
      </c>
      <c r="J12" s="495"/>
      <c r="K12" s="496"/>
      <c r="L12" s="497"/>
    </row>
    <row r="13" spans="3:12" ht="16.5" customHeight="1">
      <c r="C13" s="19"/>
      <c r="D13" s="447" t="s">
        <v>27</v>
      </c>
      <c r="E13" s="449"/>
      <c r="F13" s="449"/>
      <c r="G13" s="449"/>
      <c r="H13" s="449"/>
      <c r="I13" s="449"/>
      <c r="J13" s="449"/>
      <c r="K13" s="449"/>
      <c r="L13" s="449"/>
    </row>
    <row r="14" spans="5:19" ht="16.5" customHeight="1">
      <c r="E14" s="15"/>
      <c r="F14" s="15"/>
      <c r="G14" s="15"/>
      <c r="H14" s="15"/>
      <c r="I14" s="15"/>
      <c r="J14" s="15"/>
      <c r="K14" s="15"/>
      <c r="L14" s="15"/>
      <c r="O14" s="22"/>
      <c r="P14" s="22"/>
      <c r="Q14" s="22"/>
      <c r="R14" s="22"/>
      <c r="S14" s="22"/>
    </row>
    <row r="15" spans="3:18" ht="16.5" customHeight="1">
      <c r="C15" s="290"/>
      <c r="D15" s="291"/>
      <c r="E15" s="291"/>
      <c r="F15" s="291"/>
      <c r="G15" s="292"/>
      <c r="H15" s="537" t="s">
        <v>143</v>
      </c>
      <c r="I15" s="538"/>
      <c r="J15" s="538"/>
      <c r="K15" s="538"/>
      <c r="L15" s="539"/>
      <c r="N15" s="22"/>
      <c r="O15" s="22"/>
      <c r="P15" s="22"/>
      <c r="Q15" s="22"/>
      <c r="R15" s="22"/>
    </row>
    <row r="16" spans="3:18" ht="16.5" customHeight="1">
      <c r="C16" s="540" t="s">
        <v>83</v>
      </c>
      <c r="D16" s="541"/>
      <c r="E16" s="541"/>
      <c r="F16" s="541"/>
      <c r="G16" s="542"/>
      <c r="H16" s="502" t="str">
        <f>Formulas!G98</f>
        <v>CRYSTALYX VP®-30</v>
      </c>
      <c r="I16" s="505" t="s">
        <v>206</v>
      </c>
      <c r="J16" s="505" t="s">
        <v>105</v>
      </c>
      <c r="K16" s="505" t="s">
        <v>141</v>
      </c>
      <c r="L16" s="499" t="s">
        <v>142</v>
      </c>
      <c r="N16" s="454"/>
      <c r="O16" s="454"/>
      <c r="P16" s="454"/>
      <c r="Q16" s="454"/>
      <c r="R16" s="22"/>
    </row>
    <row r="17" spans="3:18" ht="16.5" customHeight="1">
      <c r="C17" s="543"/>
      <c r="D17" s="544"/>
      <c r="E17" s="544"/>
      <c r="F17" s="544"/>
      <c r="G17" s="545"/>
      <c r="H17" s="503"/>
      <c r="I17" s="506"/>
      <c r="J17" s="506"/>
      <c r="K17" s="506"/>
      <c r="L17" s="500"/>
      <c r="N17" s="454"/>
      <c r="O17" s="454"/>
      <c r="P17" s="454"/>
      <c r="Q17" s="454"/>
      <c r="R17" s="22"/>
    </row>
    <row r="18" spans="3:18" ht="16.5" customHeight="1">
      <c r="C18" s="546"/>
      <c r="D18" s="547"/>
      <c r="E18" s="547"/>
      <c r="F18" s="547"/>
      <c r="G18" s="548"/>
      <c r="H18" s="504"/>
      <c r="I18" s="507"/>
      <c r="J18" s="507"/>
      <c r="K18" s="507"/>
      <c r="L18" s="501"/>
      <c r="N18" s="498"/>
      <c r="O18" s="498"/>
      <c r="P18" s="498"/>
      <c r="Q18" s="498"/>
      <c r="R18" s="22"/>
    </row>
    <row r="19" spans="3:18" s="191" customFormat="1" ht="16.5" customHeight="1">
      <c r="C19" s="195"/>
      <c r="D19" s="565" t="s">
        <v>201</v>
      </c>
      <c r="E19" s="565"/>
      <c r="F19" s="565"/>
      <c r="G19" s="196"/>
      <c r="H19" s="251" t="b">
        <v>1</v>
      </c>
      <c r="I19" s="197" t="b">
        <v>1</v>
      </c>
      <c r="J19" s="197" t="b">
        <v>1</v>
      </c>
      <c r="K19" s="197" t="b">
        <v>0</v>
      </c>
      <c r="L19" s="198" t="b">
        <v>1</v>
      </c>
      <c r="N19" s="192"/>
      <c r="O19" s="192"/>
      <c r="P19" s="192"/>
      <c r="Q19" s="192"/>
      <c r="R19" s="193"/>
    </row>
    <row r="20" spans="3:18" ht="16.5" customHeight="1">
      <c r="C20" s="116"/>
      <c r="D20" s="511" t="s">
        <v>82</v>
      </c>
      <c r="E20" s="511"/>
      <c r="F20" s="511"/>
      <c r="G20" s="106"/>
      <c r="H20" s="194">
        <f>Crystalyx®!J12</f>
        <v>750</v>
      </c>
      <c r="I20" s="95">
        <v>425</v>
      </c>
      <c r="J20" s="95">
        <v>285</v>
      </c>
      <c r="K20" s="95">
        <v>250</v>
      </c>
      <c r="L20" s="96">
        <v>180</v>
      </c>
      <c r="N20" s="22"/>
      <c r="O20" s="22"/>
      <c r="P20" s="22"/>
      <c r="Q20" s="22"/>
      <c r="R20" s="22"/>
    </row>
    <row r="21" spans="3:18" ht="14.25">
      <c r="C21" s="116"/>
      <c r="D21" s="512"/>
      <c r="E21" s="512"/>
      <c r="F21" s="512"/>
      <c r="G21" s="293"/>
      <c r="H21" s="294"/>
      <c r="I21" s="295"/>
      <c r="J21" s="295"/>
      <c r="K21" s="295"/>
      <c r="L21" s="296"/>
      <c r="N21" s="22"/>
      <c r="O21" s="22"/>
      <c r="P21" s="22"/>
      <c r="Q21" s="22"/>
      <c r="R21" s="22"/>
    </row>
    <row r="22" spans="3:18" ht="16.5" customHeight="1">
      <c r="C22" s="116"/>
      <c r="D22" s="434" t="s">
        <v>102</v>
      </c>
      <c r="E22" s="434"/>
      <c r="F22" s="434"/>
      <c r="G22" s="84"/>
      <c r="H22" s="97">
        <f>Crystalyx®!J19</f>
        <v>0.75</v>
      </c>
      <c r="I22" s="98">
        <v>3</v>
      </c>
      <c r="J22" s="98">
        <v>2</v>
      </c>
      <c r="K22" s="98">
        <v>3.5</v>
      </c>
      <c r="L22" s="99">
        <v>3</v>
      </c>
      <c r="N22" s="22"/>
      <c r="O22" s="22"/>
      <c r="P22" s="22"/>
      <c r="Q22" s="22"/>
      <c r="R22" s="22"/>
    </row>
    <row r="23" spans="3:18" ht="16.5" customHeight="1">
      <c r="C23" s="116"/>
      <c r="D23" s="434" t="s">
        <v>86</v>
      </c>
      <c r="E23" s="434"/>
      <c r="F23" s="434"/>
      <c r="G23" s="84"/>
      <c r="H23" s="100">
        <f>Crystalyx®!J20</f>
        <v>0</v>
      </c>
      <c r="I23" s="101">
        <v>0.05</v>
      </c>
      <c r="J23" s="101">
        <v>0.02</v>
      </c>
      <c r="K23" s="101">
        <v>0</v>
      </c>
      <c r="L23" s="102">
        <v>0.05</v>
      </c>
      <c r="N23" s="22"/>
      <c r="O23" s="22"/>
      <c r="P23" s="22"/>
      <c r="Q23" s="22"/>
      <c r="R23" s="22"/>
    </row>
    <row r="24" spans="3:18" ht="16.5" customHeight="1">
      <c r="C24" s="116"/>
      <c r="D24" s="434" t="s">
        <v>28</v>
      </c>
      <c r="E24" s="434"/>
      <c r="F24" s="434"/>
      <c r="G24" s="84"/>
      <c r="H24" s="103">
        <f>Crystalyx®!J21</f>
        <v>14</v>
      </c>
      <c r="I24" s="104">
        <v>4</v>
      </c>
      <c r="J24" s="104">
        <v>2</v>
      </c>
      <c r="K24" s="104">
        <v>7</v>
      </c>
      <c r="L24" s="105">
        <v>5</v>
      </c>
      <c r="N24" s="22"/>
      <c r="O24" s="22"/>
      <c r="P24" s="22"/>
      <c r="Q24" s="22"/>
      <c r="R24" s="22"/>
    </row>
    <row r="25" spans="3:18" ht="16.5" customHeight="1">
      <c r="C25" s="116"/>
      <c r="D25" s="434" t="s">
        <v>60</v>
      </c>
      <c r="E25" s="434"/>
      <c r="F25" s="434"/>
      <c r="G25" s="84"/>
      <c r="H25" s="97">
        <f>Crystalyx®!J23</f>
        <v>2</v>
      </c>
      <c r="I25" s="98">
        <v>2</v>
      </c>
      <c r="J25" s="98">
        <v>2</v>
      </c>
      <c r="K25" s="98">
        <v>0</v>
      </c>
      <c r="L25" s="99">
        <v>2</v>
      </c>
      <c r="N25" s="22"/>
      <c r="O25" s="22"/>
      <c r="P25" s="22"/>
      <c r="Q25" s="22"/>
      <c r="R25" s="22"/>
    </row>
    <row r="26" spans="3:18" ht="16.5" customHeight="1">
      <c r="C26" s="116"/>
      <c r="D26" s="434" t="s">
        <v>61</v>
      </c>
      <c r="E26" s="434"/>
      <c r="F26" s="434"/>
      <c r="G26" s="84"/>
      <c r="H26" s="97">
        <f>Crystalyx®!J24</f>
        <v>0</v>
      </c>
      <c r="I26" s="98">
        <v>0</v>
      </c>
      <c r="J26" s="98">
        <v>0</v>
      </c>
      <c r="K26" s="98">
        <v>0</v>
      </c>
      <c r="L26" s="99">
        <v>0</v>
      </c>
      <c r="N26" s="22"/>
      <c r="O26" s="22"/>
      <c r="P26" s="22"/>
      <c r="Q26" s="22"/>
      <c r="R26" s="22"/>
    </row>
    <row r="27" spans="3:18" ht="16.5" customHeight="1">
      <c r="C27" s="116"/>
      <c r="D27" s="563" t="s">
        <v>4</v>
      </c>
      <c r="E27" s="563"/>
      <c r="F27" s="563"/>
      <c r="G27" s="93"/>
      <c r="H27" s="297"/>
      <c r="I27" s="86"/>
      <c r="J27" s="86"/>
      <c r="K27" s="86"/>
      <c r="L27" s="88"/>
      <c r="N27" s="22"/>
      <c r="O27" s="22"/>
      <c r="P27" s="22"/>
      <c r="Q27" s="22"/>
      <c r="R27" s="22"/>
    </row>
    <row r="28" spans="3:18" ht="16.5" customHeight="1">
      <c r="C28" s="117"/>
      <c r="D28" s="564"/>
      <c r="E28" s="564"/>
      <c r="F28" s="564"/>
      <c r="G28" s="94"/>
      <c r="H28" s="298"/>
      <c r="I28" s="87"/>
      <c r="J28" s="87"/>
      <c r="K28" s="87"/>
      <c r="L28" s="89"/>
      <c r="M28" s="47" t="s">
        <v>14</v>
      </c>
      <c r="N28" s="22"/>
      <c r="O28" s="22"/>
      <c r="P28" s="22"/>
      <c r="Q28" s="22"/>
      <c r="R28" s="22"/>
    </row>
    <row r="29" spans="4:12" ht="10.5" customHeight="1">
      <c r="D29" s="21"/>
      <c r="E29" s="15"/>
      <c r="F29" s="15"/>
      <c r="G29" s="15"/>
      <c r="H29" s="15"/>
      <c r="I29" s="15"/>
      <c r="J29" s="15"/>
      <c r="K29" s="15"/>
      <c r="L29" s="15"/>
    </row>
    <row r="31" spans="3:12" ht="16.5" customHeight="1">
      <c r="C31" s="558" t="str">
        <f>"Output for --"&amp;" "&amp;LEFT(H6,24)</f>
        <v>Output for -- Clear Profit Ranch</v>
      </c>
      <c r="D31" s="559"/>
      <c r="E31" s="559"/>
      <c r="F31" s="559"/>
      <c r="G31" s="559"/>
      <c r="H31" s="559"/>
      <c r="I31" s="559"/>
      <c r="J31" s="559"/>
      <c r="K31" s="559"/>
      <c r="L31" s="560"/>
    </row>
    <row r="32" spans="3:12" ht="16.5" customHeight="1">
      <c r="C32" s="290"/>
      <c r="D32" s="299"/>
      <c r="E32" s="299"/>
      <c r="F32" s="299"/>
      <c r="G32" s="300"/>
      <c r="H32" s="513" t="str">
        <f>H15</f>
        <v>Supplement program/product name</v>
      </c>
      <c r="I32" s="514"/>
      <c r="J32" s="514"/>
      <c r="K32" s="514"/>
      <c r="L32" s="515"/>
    </row>
    <row r="33" spans="3:12" ht="5.25" customHeight="1">
      <c r="C33" s="540" t="s">
        <v>84</v>
      </c>
      <c r="D33" s="541"/>
      <c r="E33" s="541"/>
      <c r="F33" s="541"/>
      <c r="G33" s="542"/>
      <c r="H33" s="522" t="str">
        <f>IF(COUNTA(H16)&gt;0,H16,"")</f>
        <v>CRYSTALYX VP®-30</v>
      </c>
      <c r="I33" s="508" t="str">
        <f>IF(COUNTA(I16)&gt;0,I16,"")</f>
        <v>Composite Block</v>
      </c>
      <c r="J33" s="508" t="str">
        <f>IF(COUNTA(J16)&gt;0,J16,"")</f>
        <v>Cubes</v>
      </c>
      <c r="K33" s="508" t="str">
        <f>IF(COUNTA(K16)&gt;0,K16,"")</f>
        <v>Liquid</v>
      </c>
      <c r="L33" s="555" t="str">
        <f>IF(COUNTA(L16)&gt;0,L16,"")</f>
        <v>Salt Meal Mix</v>
      </c>
    </row>
    <row r="34" spans="3:12" ht="16.5" customHeight="1">
      <c r="C34" s="543"/>
      <c r="D34" s="544"/>
      <c r="E34" s="544"/>
      <c r="F34" s="544"/>
      <c r="G34" s="545"/>
      <c r="H34" s="523"/>
      <c r="I34" s="509"/>
      <c r="J34" s="509"/>
      <c r="K34" s="509"/>
      <c r="L34" s="556"/>
    </row>
    <row r="35" spans="3:12" ht="16.5" customHeight="1">
      <c r="C35" s="546"/>
      <c r="D35" s="547"/>
      <c r="E35" s="547"/>
      <c r="F35" s="547"/>
      <c r="G35" s="548"/>
      <c r="H35" s="524"/>
      <c r="I35" s="510"/>
      <c r="J35" s="510"/>
      <c r="K35" s="510"/>
      <c r="L35" s="557"/>
    </row>
    <row r="36" spans="3:12" ht="16.5" customHeight="1">
      <c r="C36" s="185"/>
      <c r="D36" s="83" t="s">
        <v>62</v>
      </c>
      <c r="E36" s="83"/>
      <c r="F36" s="83"/>
      <c r="G36" s="122"/>
      <c r="H36" s="202">
        <f>IF(AND(H20&gt;0,H22&gt;0),H20/2000*H22*$I$8*(1+H23),"")</f>
        <v>33.75</v>
      </c>
      <c r="I36" s="203">
        <f>IF(AND(I20&gt;0,I22&gt;0),I20/2000*I22*$I$8*(1+I23),"")</f>
        <v>80.325</v>
      </c>
      <c r="J36" s="203">
        <f>IF(AND(J20&gt;0,J22&gt;0),J20/2000*J22*$I$8*(1+J23),"")</f>
        <v>34.88399999999999</v>
      </c>
      <c r="K36" s="203">
        <f>IF(AND(K20&gt;0,K22&gt;0),K20/2000*K22*$I$8*(1+K23),"")</f>
        <v>52.5</v>
      </c>
      <c r="L36" s="204">
        <f>IF(AND(L20&gt;0,L22&gt;0),L20/2000*L22*$I$8*(1+L23),"")</f>
        <v>34.02000000000001</v>
      </c>
    </row>
    <row r="37" spans="3:12" ht="16.5" customHeight="1" hidden="1">
      <c r="C37" s="186"/>
      <c r="D37" s="84"/>
      <c r="E37" s="84"/>
      <c r="F37" s="84"/>
      <c r="G37" s="108"/>
      <c r="H37" s="205"/>
      <c r="I37" s="206"/>
      <c r="J37" s="206"/>
      <c r="K37" s="206"/>
      <c r="L37" s="207"/>
    </row>
    <row r="38" spans="3:12" ht="16.5" customHeight="1">
      <c r="C38" s="186"/>
      <c r="D38" s="84" t="s">
        <v>148</v>
      </c>
      <c r="E38" s="84"/>
      <c r="F38" s="84"/>
      <c r="G38" s="108"/>
      <c r="H38" s="301"/>
      <c r="I38" s="302"/>
      <c r="J38" s="302"/>
      <c r="K38" s="302"/>
      <c r="L38" s="303"/>
    </row>
    <row r="39" spans="3:12" ht="16.5" customHeight="1">
      <c r="C39" s="186"/>
      <c r="D39" s="84"/>
      <c r="E39" s="84" t="s">
        <v>151</v>
      </c>
      <c r="F39" s="84"/>
      <c r="G39" s="108"/>
      <c r="H39" s="97">
        <f>IF(AND(H20&gt;0,H24&gt;0),SUMPRODUCT(Formulas!F71:F82,Equipment!$L8:$L19),"")</f>
        <v>0</v>
      </c>
      <c r="I39" s="109">
        <f>IF(AND(I20&gt;0,I24&gt;0),SUMPRODUCT(Formulas!G71:G82,Equipment!$L8:$L19),"")</f>
        <v>0</v>
      </c>
      <c r="J39" s="109">
        <f>IF(AND(J20&gt;0,J24&gt;0),SUMPRODUCT(Formulas!H71:H82,Equipment!$L8:$L19),"")</f>
        <v>7.731428571428571</v>
      </c>
      <c r="K39" s="109">
        <f>IF(AND(K20&gt;0,K24&gt;0),SUMPRODUCT(Formulas!I71:I82,Equipment!$L8:$L19),"")</f>
        <v>0.10466666666666667</v>
      </c>
      <c r="L39" s="110">
        <f>IF(AND(L20&gt;0,L24&gt;0),SUMPRODUCT(Formulas!J71:J82,Equipment!$L8:$L19),"")</f>
        <v>9.696547619047621</v>
      </c>
    </row>
    <row r="40" spans="3:12" ht="16.5" customHeight="1">
      <c r="C40" s="186"/>
      <c r="D40" s="84"/>
      <c r="E40" s="84" t="s">
        <v>152</v>
      </c>
      <c r="F40" s="84"/>
      <c r="G40" s="108"/>
      <c r="H40" s="97">
        <f>IF(AND(H20&gt;0,H24&gt;0),(H25*$I8/H24)/$I7*$I$10,"")</f>
        <v>2.057142857142857</v>
      </c>
      <c r="I40" s="109">
        <f>IF(AND(I20&gt;0,I24&gt;0),(I25*$I8/I24)/$I7*$I$10,"")</f>
        <v>7.199999999999999</v>
      </c>
      <c r="J40" s="109">
        <f>IF(AND(J20&gt;0,J24&gt;0),(J25*$I8/J24)/$I7*$I$10,"")</f>
        <v>14.399999999999999</v>
      </c>
      <c r="K40" s="109">
        <f>IF(AND(K20&gt;0,K24&gt;0),(K25*$I8/K24)/$I7*$I$10,"")</f>
        <v>0</v>
      </c>
      <c r="L40" s="110">
        <f>IF(AND(L20&gt;0,L24&gt;0),(L25*$I8/L24)/$I7*$I$10,"")</f>
        <v>5.76</v>
      </c>
    </row>
    <row r="41" spans="3:12" ht="16.5" customHeight="1">
      <c r="C41" s="186"/>
      <c r="D41" s="84"/>
      <c r="E41" s="84" t="s">
        <v>153</v>
      </c>
      <c r="F41" s="84"/>
      <c r="G41" s="108"/>
      <c r="H41" s="97">
        <f>IF(AND(H20&gt;0,H24&gt;0,H19=TRUE),($I9*$I11*$I8/H24)/$I7,0)</f>
        <v>1.9285714285714286</v>
      </c>
      <c r="I41" s="109">
        <f>IF(AND(I20&gt;0,I24&gt;0,I19=TRUE),($I9*$I11*$I8/I24)/$I7,0)</f>
        <v>6.75</v>
      </c>
      <c r="J41" s="109">
        <f>IF(AND(J20&gt;0,J24&gt;0,J19=TRUE),($I9*$I11*$I8/J24)/$I7,0)</f>
        <v>13.5</v>
      </c>
      <c r="K41" s="109">
        <f>IF(AND(K20&gt;0,K24&gt;0,K19=TRUE),($I9*$I11*$I8/K24)/$I7,0)</f>
        <v>0</v>
      </c>
      <c r="L41" s="110">
        <f>IF(AND(L20&gt;0,L24&gt;0,L19=TRUE),($I9*$I11*$I8/L24)/$I7,0)</f>
        <v>5.4</v>
      </c>
    </row>
    <row r="42" spans="3:12" ht="16.5" customHeight="1">
      <c r="C42" s="186"/>
      <c r="D42" s="84"/>
      <c r="E42" s="84" t="s">
        <v>99</v>
      </c>
      <c r="F42" s="84"/>
      <c r="G42" s="108"/>
      <c r="H42" s="97">
        <f>IF(AND(H20&gt;0,H24&gt;0),(H26*$I12*$I8/H24)/$I7,"")</f>
        <v>0</v>
      </c>
      <c r="I42" s="109">
        <f>IF(AND(I20&gt;0,I24&gt;0),(I26*$I12*$I8/I24)/$I7,"")</f>
        <v>0</v>
      </c>
      <c r="J42" s="109">
        <f>IF(AND(J20&gt;0,J24&gt;0),(J26*$I12*$I8/J24)/$I7,"")</f>
        <v>0</v>
      </c>
      <c r="K42" s="109">
        <f>IF(AND(K20&gt;0,K24&gt;0),(K26*$I12*$I8/K24)/$I7,"")</f>
        <v>0</v>
      </c>
      <c r="L42" s="110">
        <f>IF(AND(L20&gt;0,L24&gt;0),(L26*$I12*$I8/L24)/$I7,"")</f>
        <v>0</v>
      </c>
    </row>
    <row r="43" spans="3:12" ht="16.5" customHeight="1">
      <c r="C43" s="187"/>
      <c r="D43" s="85" t="s">
        <v>15</v>
      </c>
      <c r="E43" s="85"/>
      <c r="F43" s="85"/>
      <c r="G43" s="123"/>
      <c r="H43" s="208">
        <f>IF(AND(H20&gt;0,H24&gt;0),SUM(H39:H42),"")</f>
        <v>3.9857142857142858</v>
      </c>
      <c r="I43" s="209">
        <f>IF(AND(I20&gt;0,I24&gt;0),SUM(I39:I42),"")</f>
        <v>13.95</v>
      </c>
      <c r="J43" s="209">
        <f>IF(AND(J20&gt;0,J24&gt;0),SUM(J39:J42),"")</f>
        <v>35.63142857142857</v>
      </c>
      <c r="K43" s="209">
        <f>IF(AND(K20&gt;0,K24&gt;0),SUM(K39:K42),"")</f>
        <v>0.10466666666666667</v>
      </c>
      <c r="L43" s="210">
        <f>IF(AND(L20&gt;0,L24&gt;0),SUM(L39:L42),"")</f>
        <v>20.85654761904762</v>
      </c>
    </row>
    <row r="44" spans="3:12" ht="16.5" customHeight="1">
      <c r="C44" s="549"/>
      <c r="D44" s="550"/>
      <c r="E44" s="550"/>
      <c r="F44" s="550"/>
      <c r="G44" s="551"/>
      <c r="H44" s="310"/>
      <c r="I44" s="311"/>
      <c r="J44" s="311"/>
      <c r="K44" s="311"/>
      <c r="L44" s="312"/>
    </row>
    <row r="45" spans="3:15" ht="16.5" customHeight="1">
      <c r="C45" s="185" t="s">
        <v>43</v>
      </c>
      <c r="D45" s="83"/>
      <c r="E45" s="83"/>
      <c r="F45" s="83"/>
      <c r="G45" s="122"/>
      <c r="H45" s="211">
        <f>IF(AND(H20&gt;0,H24&gt;0),(H36+H43)/$I8,"")</f>
        <v>0.31446428571428575</v>
      </c>
      <c r="I45" s="212">
        <f>IF(AND(I20&gt;0,I24&gt;0),(I36+I43)/$I8,"")</f>
        <v>0.785625</v>
      </c>
      <c r="J45" s="212">
        <f>IF(AND(J20&gt;0,J24&gt;0),(J36+J43)/$I8,"")</f>
        <v>0.5876285714285714</v>
      </c>
      <c r="K45" s="212">
        <f>IF(AND(K20&gt;0,K24&gt;0),(K36+K43)/$I8,"")</f>
        <v>0.4383722222222222</v>
      </c>
      <c r="L45" s="213">
        <f>IF(AND(L20&gt;0,L24&gt;0),(L36+L43)/$I8,"")</f>
        <v>0.45730456349206355</v>
      </c>
      <c r="O45" s="323">
        <f>MIN(H45:L45)</f>
        <v>0.31446428571428575</v>
      </c>
    </row>
    <row r="46" spans="3:15" ht="16.5" customHeight="1">
      <c r="C46" s="304" t="s">
        <v>44</v>
      </c>
      <c r="D46" s="305"/>
      <c r="E46" s="305"/>
      <c r="F46" s="305"/>
      <c r="G46" s="306"/>
      <c r="H46" s="307">
        <f>IF(AND(H20&gt;0,H24&gt;0),H36+H43,"")</f>
        <v>37.73571428571429</v>
      </c>
      <c r="I46" s="308">
        <f>IF(AND(I20&gt;0,I24&gt;0),I36+I43,"")</f>
        <v>94.275</v>
      </c>
      <c r="J46" s="308">
        <f>IF(AND(J20&gt;0,J24&gt;0),J36+J43,"")</f>
        <v>70.51542857142857</v>
      </c>
      <c r="K46" s="308">
        <f>IF(AND(K20&gt;0,K24&gt;0),K36+K43,"")</f>
        <v>52.60466666666667</v>
      </c>
      <c r="L46" s="309">
        <f>IF(AND(L20&gt;0,L24&gt;0),L36+L43,"")</f>
        <v>54.87654761904763</v>
      </c>
      <c r="M46" s="26"/>
      <c r="O46" s="324">
        <f>MIN(H46:L46)</f>
        <v>37.73571428571429</v>
      </c>
    </row>
    <row r="47" spans="3:15" ht="16.5" customHeight="1">
      <c r="C47" s="187" t="s">
        <v>45</v>
      </c>
      <c r="D47" s="85"/>
      <c r="E47" s="85"/>
      <c r="F47" s="85"/>
      <c r="G47" s="123"/>
      <c r="H47" s="214">
        <f>IF(AND(H20&gt;0,H24&gt;0),H46*$I7,"")</f>
        <v>3773.571428571429</v>
      </c>
      <c r="I47" s="215">
        <f>IF(AND(I20&gt;0,I24&gt;0),I46*$I7,"")</f>
        <v>9427.5</v>
      </c>
      <c r="J47" s="215">
        <f>IF(AND(J20&gt;0,J24&gt;0),J46*$I7,"")</f>
        <v>7051.542857142857</v>
      </c>
      <c r="K47" s="215">
        <f>IF(AND(K20&gt;0,K24&gt;0),K46*$I7,"")</f>
        <v>5260.466666666666</v>
      </c>
      <c r="L47" s="216">
        <f>IF(AND(L20&gt;0,L24&gt;0),L46*$I7,"")</f>
        <v>5487.654761904762</v>
      </c>
      <c r="O47" s="325">
        <f>MIN(H47:L47)</f>
        <v>3773.571428571429</v>
      </c>
    </row>
    <row r="48" spans="3:12" ht="7.5" customHeight="1">
      <c r="C48" s="177"/>
      <c r="D48" s="27"/>
      <c r="E48" s="27"/>
      <c r="F48" s="27"/>
      <c r="G48" s="27"/>
      <c r="H48" s="217"/>
      <c r="I48" s="218"/>
      <c r="J48" s="218"/>
      <c r="K48" s="218"/>
      <c r="L48" s="219"/>
    </row>
    <row r="49" spans="3:12" ht="16.5" customHeight="1">
      <c r="C49" s="116" t="s">
        <v>85</v>
      </c>
      <c r="D49" s="22"/>
      <c r="E49" s="22"/>
      <c r="F49" s="22"/>
      <c r="G49" s="118"/>
      <c r="H49" s="220">
        <f>IF(AND(H20&gt;0,H24&gt;0),H36/H46,"")</f>
        <v>0.8943781942078364</v>
      </c>
      <c r="I49" s="221">
        <f>IF(AND(I20&gt;0,I24&gt;0),I36/I46,"")</f>
        <v>0.8520286396181384</v>
      </c>
      <c r="J49" s="221">
        <f>IF(AND(J20&gt;0,J24&gt;0),J36/J46,"")</f>
        <v>0.494700247970049</v>
      </c>
      <c r="K49" s="221">
        <f>IF(AND(K20&gt;0,K24&gt;0),K36/K46,"")</f>
        <v>0.9980103159415514</v>
      </c>
      <c r="L49" s="222">
        <f>IF(AND(L20&gt;0,L24&gt;0),L36/L46,"")</f>
        <v>0.6199369580638794</v>
      </c>
    </row>
    <row r="50" spans="3:12" ht="7.5" customHeight="1">
      <c r="C50" s="117"/>
      <c r="D50" s="14"/>
      <c r="E50" s="14"/>
      <c r="F50" s="14"/>
      <c r="G50" s="119"/>
      <c r="H50" s="223"/>
      <c r="I50" s="224"/>
      <c r="J50" s="224"/>
      <c r="K50" s="224"/>
      <c r="L50" s="225"/>
    </row>
    <row r="51" spans="8:12" ht="16.5" customHeight="1">
      <c r="H51" s="28"/>
      <c r="I51" s="28"/>
      <c r="J51" s="28"/>
      <c r="K51" s="28"/>
      <c r="L51" s="28"/>
    </row>
    <row r="52" spans="3:12" ht="16.5" customHeight="1">
      <c r="C52" s="69"/>
      <c r="D52" s="69"/>
      <c r="E52" s="69"/>
      <c r="F52" s="69"/>
      <c r="G52" s="69"/>
      <c r="H52" s="69"/>
      <c r="I52" s="69"/>
      <c r="J52" s="69"/>
      <c r="K52" s="69"/>
      <c r="L52" s="69"/>
    </row>
    <row r="53" spans="3:12" ht="16.5" customHeight="1">
      <c r="C53" s="70" t="s">
        <v>47</v>
      </c>
      <c r="D53" s="69"/>
      <c r="E53" s="69"/>
      <c r="F53" s="69"/>
      <c r="G53" s="69"/>
      <c r="H53" s="69"/>
      <c r="I53" s="69"/>
      <c r="J53" s="69"/>
      <c r="K53" s="69"/>
      <c r="L53" s="69"/>
    </row>
    <row r="54" spans="3:12" ht="16.5" customHeight="1">
      <c r="C54" s="69"/>
      <c r="D54" s="69" t="s">
        <v>46</v>
      </c>
      <c r="E54" s="69"/>
      <c r="F54" s="69"/>
      <c r="G54" s="69"/>
      <c r="H54" s="71">
        <f>IF(H20&gt;0,(H25*$I8/H24)/$I7,"")</f>
        <v>0.17142857142857143</v>
      </c>
      <c r="I54" s="71">
        <f>IF(I20&gt;0,(I25*$I8/I24)/$I7,"")</f>
        <v>0.6</v>
      </c>
      <c r="J54" s="71">
        <f>IF(J20&gt;0,(J25*$I8/J24)/$I7,"")</f>
        <v>1.2</v>
      </c>
      <c r="K54" s="71">
        <f>IF(K20&gt;0,(K25*$I8/K24)/$I7,"")</f>
        <v>0</v>
      </c>
      <c r="L54" s="71">
        <f>IF(L20&gt;0,(L25*$I8/L24)/$I7,"")</f>
        <v>0.48</v>
      </c>
    </row>
    <row r="55" spans="3:12" ht="16.5" customHeight="1">
      <c r="C55" s="69"/>
      <c r="D55" s="69" t="s">
        <v>48</v>
      </c>
      <c r="E55" s="69"/>
      <c r="F55" s="69"/>
      <c r="G55" s="69"/>
      <c r="H55" s="72" t="str">
        <f>IF(AND(H20&gt;0,H24&gt;0),IF(H46=$O46,"low cost",IF(H54=HLOOKUP($O46,Returns,9),"n/a",((H46-H40)-($O46-HLOOKUP($O46,Returns,9)*$I10))/(HLOOKUP($O46,Returns,9)-H54))),"")</f>
        <v>low cost</v>
      </c>
      <c r="I55" s="72">
        <f>IF(AND(I20&gt;0,I24&gt;0),IF(I46=$O46,"low cost",IF(I54=HLOOKUP($O46,Returns,9),"n/a",((I46-I40)-($O46-HLOOKUP($O46,Returns,9)*$I10))/(HLOOKUP($O46,Returns,9)-I54))),"")</f>
        <v>-119.92500000000001</v>
      </c>
      <c r="J55" s="72">
        <f>IF(AND(J20&gt;0,J24&gt;0),IF(J46=$O46,"low cost",IF(J54=HLOOKUP($O46,Returns,9),"n/a",((J46-J40)-($O46-HLOOKUP($O46,Returns,9)*$I10))/(HLOOKUP($O46,Returns,9)-J54))),"")</f>
        <v>-19.86916666666667</v>
      </c>
      <c r="K55" s="72">
        <f>IF(AND(K20&gt;0,K24&gt;0),IF(K46=$O46,"low cost",IF(K54=HLOOKUP($O46,Returns,9),"n/a",((K46-K40)-($O46-HLOOKUP($O46,Returns,9)*$I10))/(HLOOKUP($O46,Returns,9)-K54))),"")</f>
        <v>98.73555555555555</v>
      </c>
      <c r="L55" s="72">
        <f>IF(AND(L20&gt;0,L24&gt;0),IF(L46=$O46,"low cost",IF(L54=HLOOKUP($O46,Returns,9),"n/a",((L46-L40)-($O46-HLOOKUP($O46,Returns,9)*$I10))/(HLOOKUP($O46,Returns,9)-L54))),"")</f>
        <v>-43.548996913580275</v>
      </c>
    </row>
    <row r="56" spans="3:12" ht="16.5" customHeight="1">
      <c r="C56" s="69"/>
      <c r="D56" s="69"/>
      <c r="E56" s="69"/>
      <c r="F56" s="69"/>
      <c r="G56" s="69"/>
      <c r="H56" s="69"/>
      <c r="I56" s="69"/>
      <c r="J56" s="69"/>
      <c r="K56" s="69"/>
      <c r="L56" s="69"/>
    </row>
    <row r="57" ht="16.5" customHeight="1">
      <c r="C57" s="21"/>
    </row>
    <row r="61" spans="3:12" ht="16.5" customHeight="1">
      <c r="C61" s="534" t="str">
        <f>"Crystal Clear Economic Comparison for -- "&amp;Crystalyx®!H7</f>
        <v>Crystal Clear Economic Comparison for -- Clear Profit Ranch</v>
      </c>
      <c r="D61" s="535"/>
      <c r="E61" s="535"/>
      <c r="F61" s="535"/>
      <c r="G61" s="535"/>
      <c r="H61" s="535"/>
      <c r="I61" s="535"/>
      <c r="J61" s="535"/>
      <c r="K61" s="535"/>
      <c r="L61" s="536"/>
    </row>
    <row r="62" spans="3:12" ht="16.5" customHeight="1">
      <c r="C62" s="59"/>
      <c r="D62" s="60"/>
      <c r="E62" s="60"/>
      <c r="F62" s="60"/>
      <c r="G62" s="60"/>
      <c r="H62" s="60"/>
      <c r="I62" s="60"/>
      <c r="J62" s="60"/>
      <c r="K62" s="60"/>
      <c r="L62" s="60"/>
    </row>
    <row r="63" spans="3:12" ht="16.5" customHeight="1">
      <c r="C63" s="313"/>
      <c r="D63" s="291"/>
      <c r="E63" s="291"/>
      <c r="F63" s="291"/>
      <c r="G63" s="292"/>
      <c r="H63" s="537" t="str">
        <f>H15</f>
        <v>Supplement program/product name</v>
      </c>
      <c r="I63" s="538"/>
      <c r="J63" s="538"/>
      <c r="K63" s="538"/>
      <c r="L63" s="539"/>
    </row>
    <row r="64" spans="3:12" ht="16.5" customHeight="1">
      <c r="C64" s="525" t="s">
        <v>10</v>
      </c>
      <c r="D64" s="526"/>
      <c r="E64" s="526"/>
      <c r="F64" s="526"/>
      <c r="G64" s="527"/>
      <c r="H64" s="516" t="str">
        <f>H33</f>
        <v>CRYSTALYX VP®-30</v>
      </c>
      <c r="I64" s="519" t="str">
        <f>I16</f>
        <v>Composite Block</v>
      </c>
      <c r="J64" s="519" t="str">
        <f>J16</f>
        <v>Cubes</v>
      </c>
      <c r="K64" s="519" t="str">
        <f>K16</f>
        <v>Liquid</v>
      </c>
      <c r="L64" s="552" t="str">
        <f>L16</f>
        <v>Salt Meal Mix</v>
      </c>
    </row>
    <row r="65" spans="3:12" ht="16.5" customHeight="1">
      <c r="C65" s="528"/>
      <c r="D65" s="529"/>
      <c r="E65" s="529"/>
      <c r="F65" s="529"/>
      <c r="G65" s="530"/>
      <c r="H65" s="517"/>
      <c r="I65" s="520"/>
      <c r="J65" s="520"/>
      <c r="K65" s="520"/>
      <c r="L65" s="553"/>
    </row>
    <row r="66" spans="3:12" ht="14.25" customHeight="1">
      <c r="C66" s="531"/>
      <c r="D66" s="532"/>
      <c r="E66" s="532"/>
      <c r="F66" s="532"/>
      <c r="G66" s="533"/>
      <c r="H66" s="518"/>
      <c r="I66" s="521"/>
      <c r="J66" s="521"/>
      <c r="K66" s="521"/>
      <c r="L66" s="554"/>
    </row>
    <row r="67" spans="3:12" ht="16.5" customHeight="1">
      <c r="C67" s="188"/>
      <c r="D67" s="511" t="s">
        <v>11</v>
      </c>
      <c r="E67" s="511"/>
      <c r="F67" s="511"/>
      <c r="G67" s="107"/>
      <c r="H67" s="199">
        <f>H22</f>
        <v>0.75</v>
      </c>
      <c r="I67" s="200">
        <f>I22</f>
        <v>3</v>
      </c>
      <c r="J67" s="200">
        <f>J22</f>
        <v>2</v>
      </c>
      <c r="K67" s="200">
        <f>K22</f>
        <v>3.5</v>
      </c>
      <c r="L67" s="201">
        <f>L22</f>
        <v>3</v>
      </c>
    </row>
    <row r="68" spans="3:12" ht="16.5" customHeight="1">
      <c r="C68" s="189"/>
      <c r="D68" s="84" t="s">
        <v>12</v>
      </c>
      <c r="E68" s="84"/>
      <c r="F68" s="84"/>
      <c r="G68" s="108"/>
      <c r="H68" s="103">
        <f>H67*$I8</f>
        <v>90</v>
      </c>
      <c r="I68" s="111">
        <f>I67*$I8</f>
        <v>360</v>
      </c>
      <c r="J68" s="111">
        <f>J67*$I8</f>
        <v>240</v>
      </c>
      <c r="K68" s="111">
        <f>K67*$I8</f>
        <v>420</v>
      </c>
      <c r="L68" s="112">
        <f>L67*$I8</f>
        <v>360</v>
      </c>
    </row>
    <row r="69" spans="3:12" ht="16.5" customHeight="1">
      <c r="C69" s="190"/>
      <c r="D69" s="85" t="s">
        <v>13</v>
      </c>
      <c r="E69" s="85"/>
      <c r="F69" s="85"/>
      <c r="G69" s="123"/>
      <c r="H69" s="113">
        <f>H68*$I7</f>
        <v>9000</v>
      </c>
      <c r="I69" s="114">
        <f>I68*$I7</f>
        <v>36000</v>
      </c>
      <c r="J69" s="114">
        <f>J68*$I7</f>
        <v>24000</v>
      </c>
      <c r="K69" s="114">
        <f>K68*$I7</f>
        <v>42000</v>
      </c>
      <c r="L69" s="115">
        <f>L68*$I7</f>
        <v>36000</v>
      </c>
    </row>
    <row r="70" spans="3:12" ht="16.5" customHeight="1">
      <c r="C70" s="45"/>
      <c r="D70" s="22"/>
      <c r="E70" s="22"/>
      <c r="F70" s="22"/>
      <c r="G70" s="22"/>
      <c r="H70" s="22"/>
      <c r="I70" s="22"/>
      <c r="J70" s="22"/>
      <c r="K70" s="22"/>
      <c r="L70" s="22"/>
    </row>
    <row r="71" spans="3:12" ht="16.5" customHeight="1">
      <c r="C71" s="45"/>
      <c r="D71" s="22"/>
      <c r="E71" s="22"/>
      <c r="F71" s="22"/>
      <c r="G71" s="22"/>
      <c r="H71" s="22"/>
      <c r="I71" s="22"/>
      <c r="J71" s="22"/>
      <c r="K71" s="22"/>
      <c r="L71" s="22"/>
    </row>
    <row r="72" spans="3:12" ht="16.5" customHeight="1">
      <c r="C72" s="45"/>
      <c r="D72" s="22"/>
      <c r="E72" s="22"/>
      <c r="F72" s="22"/>
      <c r="G72" s="22"/>
      <c r="H72" s="22"/>
      <c r="I72" s="22"/>
      <c r="J72" s="22"/>
      <c r="K72" s="22"/>
      <c r="L72" s="22"/>
    </row>
    <row r="86" spans="4:12" ht="16.5" customHeight="1">
      <c r="D86" s="15"/>
      <c r="E86" s="15"/>
      <c r="F86" s="15"/>
      <c r="G86" s="15"/>
      <c r="H86" s="15"/>
      <c r="I86" s="15"/>
      <c r="J86" s="15"/>
      <c r="K86" s="15"/>
      <c r="L86" s="15"/>
    </row>
    <row r="89" spans="4:12" ht="16.5" customHeight="1">
      <c r="D89" s="15"/>
      <c r="E89" s="15"/>
      <c r="F89" s="15"/>
      <c r="H89" s="15"/>
      <c r="I89" s="15"/>
      <c r="J89" s="15"/>
      <c r="K89" s="15"/>
      <c r="L89" s="15"/>
    </row>
    <row r="90" spans="8:12" ht="16.5" customHeight="1">
      <c r="H90" s="24"/>
      <c r="I90" s="24"/>
      <c r="J90" s="24"/>
      <c r="K90" s="24"/>
      <c r="L90" s="24"/>
    </row>
    <row r="91" spans="8:12" ht="16.5" customHeight="1">
      <c r="H91" s="36"/>
      <c r="I91" s="36"/>
      <c r="J91" s="36"/>
      <c r="K91" s="36"/>
      <c r="L91" s="36"/>
    </row>
    <row r="92" spans="8:12" ht="16.5" customHeight="1">
      <c r="H92" s="36"/>
      <c r="I92" s="36"/>
      <c r="J92" s="36"/>
      <c r="K92" s="36"/>
      <c r="L92" s="36"/>
    </row>
    <row r="93" spans="8:12" ht="16.5" customHeight="1">
      <c r="H93" s="24"/>
      <c r="I93" s="24"/>
      <c r="J93" s="24"/>
      <c r="K93" s="24"/>
      <c r="L93" s="24"/>
    </row>
    <row r="94" spans="8:12" ht="16.5" customHeight="1">
      <c r="H94" s="37"/>
      <c r="I94" s="37"/>
      <c r="J94" s="37"/>
      <c r="K94" s="37"/>
      <c r="L94" s="37"/>
    </row>
    <row r="95" spans="8:12" ht="16.5" customHeight="1">
      <c r="H95" s="24"/>
      <c r="I95" s="24"/>
      <c r="J95" s="24"/>
      <c r="K95" s="24"/>
      <c r="L95" s="24"/>
    </row>
    <row r="96" spans="8:12" ht="16.5" customHeight="1">
      <c r="H96" s="24"/>
      <c r="I96" s="24"/>
      <c r="J96" s="24"/>
      <c r="K96" s="24"/>
      <c r="L96" s="24"/>
    </row>
    <row r="111" spans="4:12" ht="16.5" customHeight="1">
      <c r="D111" s="15"/>
      <c r="E111" s="15"/>
      <c r="F111" s="15"/>
      <c r="G111" s="15"/>
      <c r="H111" s="15"/>
      <c r="I111" s="15"/>
      <c r="J111" s="15"/>
      <c r="K111" s="15"/>
      <c r="L111" s="15"/>
    </row>
    <row r="114" spans="4:12" ht="16.5" customHeight="1">
      <c r="D114" s="15"/>
      <c r="E114" s="15"/>
      <c r="F114" s="15"/>
      <c r="H114" s="15"/>
      <c r="I114" s="15"/>
      <c r="J114" s="15"/>
      <c r="K114" s="15"/>
      <c r="L114" s="15"/>
    </row>
    <row r="115" spans="8:12" ht="16.5" customHeight="1">
      <c r="H115" s="24"/>
      <c r="I115" s="24"/>
      <c r="J115" s="24"/>
      <c r="K115" s="24"/>
      <c r="L115" s="24"/>
    </row>
    <row r="116" spans="8:12" ht="16.5" customHeight="1">
      <c r="H116" s="36"/>
      <c r="I116" s="36"/>
      <c r="J116" s="36"/>
      <c r="K116" s="36"/>
      <c r="L116" s="36"/>
    </row>
    <row r="117" spans="8:12" ht="16.5" customHeight="1">
      <c r="H117" s="36"/>
      <c r="I117" s="36"/>
      <c r="J117" s="36"/>
      <c r="K117" s="36"/>
      <c r="L117" s="36"/>
    </row>
    <row r="118" spans="8:12" ht="16.5" customHeight="1">
      <c r="H118" s="24"/>
      <c r="I118" s="24"/>
      <c r="J118" s="24"/>
      <c r="K118" s="24"/>
      <c r="L118" s="24"/>
    </row>
    <row r="119" spans="8:12" ht="16.5" customHeight="1">
      <c r="H119" s="37"/>
      <c r="I119" s="37"/>
      <c r="J119" s="37"/>
      <c r="K119" s="37"/>
      <c r="L119" s="37"/>
    </row>
    <row r="120" spans="4:12" ht="16.5" customHeight="1">
      <c r="D120" s="15"/>
      <c r="E120" s="15"/>
      <c r="F120" s="15"/>
      <c r="G120" s="15"/>
      <c r="H120" s="15"/>
      <c r="I120" s="15"/>
      <c r="J120" s="15"/>
      <c r="K120" s="15"/>
      <c r="L120" s="15"/>
    </row>
    <row r="123" ht="16.5" customHeight="1">
      <c r="D123" s="34"/>
    </row>
    <row r="124" ht="16.5" customHeight="1">
      <c r="D124" s="34"/>
    </row>
    <row r="125" ht="16.5" customHeight="1">
      <c r="D125" s="34"/>
    </row>
    <row r="126" ht="16.5" customHeight="1">
      <c r="D126" s="34"/>
    </row>
    <row r="127" ht="16.5" customHeight="1">
      <c r="D127" s="34"/>
    </row>
    <row r="128" ht="16.5" customHeight="1">
      <c r="D128" s="34"/>
    </row>
    <row r="129" ht="16.5" customHeight="1">
      <c r="D129" s="34"/>
    </row>
    <row r="130" ht="16.5" customHeight="1">
      <c r="D130" s="34"/>
    </row>
    <row r="133" spans="4:12" ht="16.5" customHeight="1">
      <c r="D133" s="15"/>
      <c r="E133" s="15"/>
      <c r="F133" s="15"/>
      <c r="G133" s="15"/>
      <c r="H133" s="15"/>
      <c r="I133" s="15"/>
      <c r="J133" s="15"/>
      <c r="K133" s="15"/>
      <c r="L133" s="15"/>
    </row>
    <row r="136" spans="4:12" ht="16.5" customHeight="1">
      <c r="D136" s="15"/>
      <c r="E136" s="15"/>
      <c r="F136" s="15"/>
      <c r="H136" s="15"/>
      <c r="I136" s="15"/>
      <c r="J136" s="15"/>
      <c r="K136" s="15"/>
      <c r="L136" s="15"/>
    </row>
    <row r="137" spans="8:12" ht="16.5" customHeight="1">
      <c r="H137" s="24"/>
      <c r="I137" s="24"/>
      <c r="J137" s="24"/>
      <c r="K137" s="24"/>
      <c r="L137" s="24"/>
    </row>
    <row r="138" spans="8:12" ht="16.5" customHeight="1">
      <c r="H138" s="36"/>
      <c r="I138" s="36"/>
      <c r="J138" s="36"/>
      <c r="K138" s="36"/>
      <c r="L138" s="36"/>
    </row>
    <row r="139" spans="8:12" ht="16.5" customHeight="1">
      <c r="H139" s="36"/>
      <c r="I139" s="36"/>
      <c r="J139" s="36"/>
      <c r="K139" s="36"/>
      <c r="L139" s="36"/>
    </row>
    <row r="140" spans="8:12" ht="16.5" customHeight="1">
      <c r="H140" s="24"/>
      <c r="I140" s="24"/>
      <c r="J140" s="24"/>
      <c r="K140" s="24"/>
      <c r="L140" s="24"/>
    </row>
    <row r="141" spans="8:12" ht="16.5" customHeight="1">
      <c r="H141" s="37"/>
      <c r="I141" s="37"/>
      <c r="J141" s="37"/>
      <c r="K141" s="37"/>
      <c r="L141" s="37"/>
    </row>
    <row r="142" spans="8:12" ht="16.5" customHeight="1">
      <c r="H142" s="24"/>
      <c r="I142" s="24"/>
      <c r="J142" s="24"/>
      <c r="K142" s="24"/>
      <c r="L142" s="24"/>
    </row>
    <row r="143" spans="8:12" ht="16.5" customHeight="1">
      <c r="H143" s="24"/>
      <c r="I143" s="24"/>
      <c r="J143" s="24"/>
      <c r="K143" s="24"/>
      <c r="L143" s="24"/>
    </row>
    <row r="144" spans="8:12" ht="16.5" customHeight="1">
      <c r="H144" s="24"/>
      <c r="I144" s="24"/>
      <c r="J144" s="24"/>
      <c r="K144" s="24"/>
      <c r="L144" s="24"/>
    </row>
    <row r="145" spans="8:12" ht="16.5" customHeight="1">
      <c r="H145" s="34"/>
      <c r="I145" s="34"/>
      <c r="J145" s="34"/>
      <c r="K145" s="34"/>
      <c r="L145" s="34"/>
    </row>
    <row r="146" spans="8:12" ht="16.5" customHeight="1">
      <c r="H146" s="34"/>
      <c r="I146" s="34"/>
      <c r="J146" s="34"/>
      <c r="K146" s="34"/>
      <c r="L146" s="34"/>
    </row>
    <row r="147" spans="8:12" ht="16.5" customHeight="1">
      <c r="H147" s="34"/>
      <c r="I147" s="34"/>
      <c r="J147" s="34"/>
      <c r="K147" s="34"/>
      <c r="L147" s="34"/>
    </row>
    <row r="148" spans="4:12" ht="16.5" customHeight="1">
      <c r="D148" s="15"/>
      <c r="E148" s="15"/>
      <c r="F148" s="15"/>
      <c r="G148" s="15"/>
      <c r="H148" s="15"/>
      <c r="I148" s="15"/>
      <c r="J148" s="15"/>
      <c r="K148" s="15"/>
      <c r="L148" s="15"/>
    </row>
    <row r="150" spans="5:6" ht="16.5" customHeight="1">
      <c r="E150" s="33"/>
      <c r="F150" s="34"/>
    </row>
    <row r="153" spans="4:12" ht="16.5" customHeight="1">
      <c r="D153" s="15"/>
      <c r="E153" s="15"/>
      <c r="F153" s="15"/>
      <c r="G153" s="15"/>
      <c r="H153" s="15"/>
      <c r="I153" s="15"/>
      <c r="J153" s="15"/>
      <c r="K153" s="15"/>
      <c r="L153" s="15"/>
    </row>
    <row r="156" spans="4:12" ht="16.5" customHeight="1">
      <c r="D156" s="15"/>
      <c r="E156" s="15"/>
      <c r="F156" s="15"/>
      <c r="H156" s="15"/>
      <c r="I156" s="15"/>
      <c r="J156" s="15"/>
      <c r="K156" s="15"/>
      <c r="L156" s="15"/>
    </row>
    <row r="157" spans="8:12" ht="16.5" customHeight="1">
      <c r="H157" s="23"/>
      <c r="I157" s="23"/>
      <c r="J157" s="23"/>
      <c r="K157" s="23"/>
      <c r="L157" s="23"/>
    </row>
    <row r="159" spans="8:12" ht="16.5" customHeight="1">
      <c r="H159" s="23"/>
      <c r="I159" s="23"/>
      <c r="J159" s="23"/>
      <c r="K159" s="23"/>
      <c r="L159" s="23"/>
    </row>
    <row r="160" spans="8:12" ht="16.5" customHeight="1">
      <c r="H160" s="24"/>
      <c r="I160" s="24"/>
      <c r="J160" s="24"/>
      <c r="K160" s="24"/>
      <c r="L160" s="24"/>
    </row>
    <row r="161" spans="8:12" ht="16.5" customHeight="1">
      <c r="H161" s="24"/>
      <c r="I161" s="24"/>
      <c r="J161" s="24"/>
      <c r="K161" s="24"/>
      <c r="L161" s="24"/>
    </row>
    <row r="162" spans="8:12" ht="16.5" customHeight="1">
      <c r="H162" s="24"/>
      <c r="I162" s="24"/>
      <c r="J162" s="24"/>
      <c r="K162" s="24"/>
      <c r="L162" s="24"/>
    </row>
    <row r="163" spans="8:12" ht="16.5" customHeight="1">
      <c r="H163" s="24"/>
      <c r="I163" s="24"/>
      <c r="J163" s="24"/>
      <c r="K163" s="24"/>
      <c r="L163" s="24"/>
    </row>
    <row r="165" spans="8:12" ht="16.5" customHeight="1">
      <c r="H165" s="25"/>
      <c r="I165" s="25"/>
      <c r="J165" s="25"/>
      <c r="K165" s="25"/>
      <c r="L165" s="25"/>
    </row>
    <row r="166" spans="8:12" ht="16.5" customHeight="1">
      <c r="H166" s="23"/>
      <c r="I166" s="23"/>
      <c r="J166" s="23"/>
      <c r="K166" s="23"/>
      <c r="L166" s="23"/>
    </row>
    <row r="167" spans="8:12" ht="16.5" customHeight="1">
      <c r="H167" s="35"/>
      <c r="I167" s="35"/>
      <c r="J167" s="35"/>
      <c r="K167" s="35"/>
      <c r="L167" s="35"/>
    </row>
    <row r="168" spans="4:12" ht="16.5" customHeight="1">
      <c r="D168" s="15"/>
      <c r="E168" s="15"/>
      <c r="F168" s="15"/>
      <c r="G168" s="15"/>
      <c r="H168" s="15"/>
      <c r="I168" s="15"/>
      <c r="J168" s="15"/>
      <c r="K168" s="15"/>
      <c r="L168" s="15"/>
    </row>
    <row r="169" spans="8:12" ht="16.5" customHeight="1">
      <c r="H169" s="28"/>
      <c r="I169" s="28"/>
      <c r="J169" s="28"/>
      <c r="K169" s="28"/>
      <c r="L169" s="28"/>
    </row>
    <row r="173" spans="4:12" ht="16.5" customHeight="1">
      <c r="D173" s="15"/>
      <c r="E173" s="15"/>
      <c r="F173" s="15"/>
      <c r="G173" s="15"/>
      <c r="H173" s="15"/>
      <c r="I173" s="15"/>
      <c r="J173" s="15"/>
      <c r="K173" s="15"/>
      <c r="L173" s="15"/>
    </row>
    <row r="176" spans="4:12" ht="16.5" customHeight="1">
      <c r="D176" s="15"/>
      <c r="E176" s="15"/>
      <c r="F176" s="15"/>
      <c r="H176" s="15"/>
      <c r="I176" s="15"/>
      <c r="J176" s="15"/>
      <c r="K176" s="15"/>
      <c r="L176" s="15"/>
    </row>
    <row r="177" spans="8:12" ht="16.5" customHeight="1">
      <c r="H177" s="24"/>
      <c r="I177" s="24"/>
      <c r="J177" s="24"/>
      <c r="K177" s="24"/>
      <c r="L177" s="24"/>
    </row>
    <row r="178" spans="8:12" ht="16.5" customHeight="1">
      <c r="H178" s="24"/>
      <c r="I178" s="24"/>
      <c r="J178" s="24"/>
      <c r="K178" s="24"/>
      <c r="L178" s="24"/>
    </row>
    <row r="179" spans="8:12" ht="16.5" customHeight="1">
      <c r="H179" s="24"/>
      <c r="I179" s="24"/>
      <c r="J179" s="24"/>
      <c r="K179" s="24"/>
      <c r="L179" s="24"/>
    </row>
    <row r="180" spans="4:12" ht="16.5" customHeight="1">
      <c r="D180" s="15"/>
      <c r="E180" s="15"/>
      <c r="F180" s="15"/>
      <c r="G180" s="15"/>
      <c r="H180" s="15"/>
      <c r="I180" s="15"/>
      <c r="J180" s="15"/>
      <c r="K180" s="15"/>
      <c r="L180" s="15"/>
    </row>
  </sheetData>
  <sheetProtection password="EE63" sheet="1" objects="1" scenarios="1"/>
  <mergeCells count="49">
    <mergeCell ref="H15:L15"/>
    <mergeCell ref="K64:K66"/>
    <mergeCell ref="L64:L66"/>
    <mergeCell ref="K33:K35"/>
    <mergeCell ref="L33:L35"/>
    <mergeCell ref="C31:L31"/>
    <mergeCell ref="H6:I6"/>
    <mergeCell ref="C16:G18"/>
    <mergeCell ref="D27:F28"/>
    <mergeCell ref="D19:F19"/>
    <mergeCell ref="D11:H11"/>
    <mergeCell ref="D67:F67"/>
    <mergeCell ref="H64:H66"/>
    <mergeCell ref="I64:I66"/>
    <mergeCell ref="J64:J66"/>
    <mergeCell ref="H33:H35"/>
    <mergeCell ref="C64:G66"/>
    <mergeCell ref="C61:L61"/>
    <mergeCell ref="H63:L63"/>
    <mergeCell ref="C33:G35"/>
    <mergeCell ref="C44:G44"/>
    <mergeCell ref="I33:I35"/>
    <mergeCell ref="J33:J35"/>
    <mergeCell ref="D20:F20"/>
    <mergeCell ref="D22:F22"/>
    <mergeCell ref="D23:F23"/>
    <mergeCell ref="D21:F21"/>
    <mergeCell ref="D24:F24"/>
    <mergeCell ref="D25:F25"/>
    <mergeCell ref="D26:F26"/>
    <mergeCell ref="H32:L32"/>
    <mergeCell ref="Q16:Q18"/>
    <mergeCell ref="L16:L18"/>
    <mergeCell ref="H16:H18"/>
    <mergeCell ref="D13:L13"/>
    <mergeCell ref="N16:N18"/>
    <mergeCell ref="O16:O18"/>
    <mergeCell ref="P16:P18"/>
    <mergeCell ref="I16:I18"/>
    <mergeCell ref="J16:J18"/>
    <mergeCell ref="K16:K18"/>
    <mergeCell ref="C3:H3"/>
    <mergeCell ref="D7:H7"/>
    <mergeCell ref="D8:H8"/>
    <mergeCell ref="D10:H10"/>
    <mergeCell ref="D9:F9"/>
    <mergeCell ref="C5:L5"/>
    <mergeCell ref="J6:L12"/>
    <mergeCell ref="D12:H12"/>
  </mergeCells>
  <printOptions horizontalCentered="1"/>
  <pageMargins left="0.75" right="0.75" top="0.75" bottom="0.75" header="0" footer="0"/>
  <pageSetup fitToHeight="1" fitToWidth="1" horizontalDpi="600" verticalDpi="600" orientation="portrait" scale="77" r:id="rId4"/>
  <drawing r:id="rId3"/>
  <legacyDrawing r:id="rId2"/>
</worksheet>
</file>

<file path=xl/worksheets/sheet4.xml><?xml version="1.0" encoding="utf-8"?>
<worksheet xmlns="http://schemas.openxmlformats.org/spreadsheetml/2006/main" xmlns:r="http://schemas.openxmlformats.org/officeDocument/2006/relationships">
  <sheetPr codeName="Sheet2"/>
  <dimension ref="A2:M63"/>
  <sheetViews>
    <sheetView showGridLines="0" zoomScale="87" zoomScaleNormal="87" zoomScalePageLayoutView="0" workbookViewId="0" topLeftCell="A1">
      <selection activeCell="E12" sqref="E12"/>
    </sheetView>
  </sheetViews>
  <sheetFormatPr defaultColWidth="8.88671875" defaultRowHeight="16.5" customHeight="1"/>
  <cols>
    <col min="1" max="1" width="6.6640625" style="39" customWidth="1"/>
    <col min="2" max="2" width="4.6640625" style="39" customWidth="1"/>
    <col min="3" max="3" width="20.6640625" style="39" customWidth="1"/>
    <col min="4" max="4" width="13.10546875" style="39" customWidth="1"/>
    <col min="5" max="12" width="9.3359375" style="39" customWidth="1"/>
    <col min="13" max="16384" width="8.88671875" style="39" customWidth="1"/>
  </cols>
  <sheetData>
    <row r="2" spans="1:12" ht="16.5" customHeight="1" thickBot="1">
      <c r="A2" s="13"/>
      <c r="B2" s="13"/>
      <c r="C2" s="13"/>
      <c r="D2" s="13"/>
      <c r="E2" s="13"/>
      <c r="F2" s="13"/>
      <c r="G2" s="13"/>
      <c r="H2" s="13"/>
      <c r="I2" s="13"/>
      <c r="J2" s="13"/>
      <c r="K2" s="13"/>
      <c r="L2" s="13"/>
    </row>
    <row r="3" spans="1:13" s="314" customFormat="1" ht="19.5" customHeight="1" thickBot="1">
      <c r="A3" s="287"/>
      <c r="B3" s="315" t="s">
        <v>88</v>
      </c>
      <c r="C3" s="316"/>
      <c r="D3" s="316"/>
      <c r="E3" s="316"/>
      <c r="F3" s="316"/>
      <c r="G3" s="316"/>
      <c r="H3" s="317"/>
      <c r="I3" s="317"/>
      <c r="J3" s="316"/>
      <c r="K3" s="316"/>
      <c r="L3" s="318"/>
      <c r="M3" s="287"/>
    </row>
    <row r="4" spans="1:12" ht="16.5" customHeight="1">
      <c r="A4" s="13"/>
      <c r="B4" s="15"/>
      <c r="C4" s="15"/>
      <c r="D4" s="15"/>
      <c r="E4" s="15"/>
      <c r="F4" s="15"/>
      <c r="G4" s="15"/>
      <c r="H4" s="16"/>
      <c r="I4" s="15"/>
      <c r="J4" s="15"/>
      <c r="K4" s="15"/>
      <c r="L4" s="15"/>
    </row>
    <row r="5" spans="1:13" ht="16.5" customHeight="1">
      <c r="A5" s="13"/>
      <c r="B5" s="13"/>
      <c r="C5" s="13"/>
      <c r="D5" s="566" t="s">
        <v>178</v>
      </c>
      <c r="E5" s="566" t="s">
        <v>177</v>
      </c>
      <c r="F5" s="568" t="s">
        <v>94</v>
      </c>
      <c r="G5" s="569"/>
      <c r="H5" s="568" t="s">
        <v>179</v>
      </c>
      <c r="I5" s="569"/>
      <c r="J5" s="566" t="s">
        <v>180</v>
      </c>
      <c r="K5" s="566" t="s">
        <v>182</v>
      </c>
      <c r="L5" s="566" t="s">
        <v>181</v>
      </c>
      <c r="M5" s="40"/>
    </row>
    <row r="6" spans="1:13" ht="16.5" customHeight="1">
      <c r="A6" s="13"/>
      <c r="B6" s="13"/>
      <c r="C6" s="13"/>
      <c r="D6" s="567"/>
      <c r="E6" s="567"/>
      <c r="F6" s="570"/>
      <c r="G6" s="571"/>
      <c r="H6" s="570"/>
      <c r="I6" s="571"/>
      <c r="J6" s="567"/>
      <c r="K6" s="567"/>
      <c r="L6" s="567"/>
      <c r="M6" s="40"/>
    </row>
    <row r="7" spans="1:13" ht="16.5" customHeight="1">
      <c r="A7" s="13"/>
      <c r="B7" s="572" t="s">
        <v>42</v>
      </c>
      <c r="C7" s="573"/>
      <c r="D7" s="333" t="s">
        <v>90</v>
      </c>
      <c r="E7" s="333" t="s">
        <v>91</v>
      </c>
      <c r="F7" s="334" t="s">
        <v>92</v>
      </c>
      <c r="G7" s="335" t="s">
        <v>90</v>
      </c>
      <c r="H7" s="334" t="s">
        <v>92</v>
      </c>
      <c r="I7" s="335" t="s">
        <v>90</v>
      </c>
      <c r="J7" s="333" t="s">
        <v>92</v>
      </c>
      <c r="K7" s="336" t="s">
        <v>90</v>
      </c>
      <c r="L7" s="336" t="s">
        <v>90</v>
      </c>
      <c r="M7" s="40"/>
    </row>
    <row r="8" spans="1:13" ht="16.5" customHeight="1">
      <c r="A8" s="13"/>
      <c r="B8" s="143">
        <v>1</v>
      </c>
      <c r="C8" s="144" t="s">
        <v>0</v>
      </c>
      <c r="D8" s="135">
        <v>2000</v>
      </c>
      <c r="E8" s="133">
        <v>7</v>
      </c>
      <c r="F8" s="129">
        <v>0.1</v>
      </c>
      <c r="G8" s="130">
        <f>IF(D8&gt;0,D8*F8,"")</f>
        <v>200</v>
      </c>
      <c r="H8" s="129">
        <v>0.03</v>
      </c>
      <c r="I8" s="130">
        <f>IF(D8&gt;0,D8*H8,"")</f>
        <v>60</v>
      </c>
      <c r="J8" s="137">
        <v>1</v>
      </c>
      <c r="K8" s="139">
        <f aca="true" t="shared" si="0" ref="K8:K17">IF(D8&gt;0,((D8-G8)/E8+(D8+G8)/2*D$21+I8)*J8,"")</f>
        <v>416.14285714285717</v>
      </c>
      <c r="L8" s="141">
        <f>IF(D8&gt;0,K8/Crystalyx®!J$8,"")</f>
        <v>4.161428571428572</v>
      </c>
      <c r="M8" s="40"/>
    </row>
    <row r="9" spans="1:13" ht="16.5" customHeight="1">
      <c r="A9" s="13"/>
      <c r="B9" s="90">
        <v>2</v>
      </c>
      <c r="C9" s="145" t="s">
        <v>1</v>
      </c>
      <c r="D9" s="135">
        <v>2500</v>
      </c>
      <c r="E9" s="133">
        <v>7</v>
      </c>
      <c r="F9" s="129">
        <v>0.1</v>
      </c>
      <c r="G9" s="130">
        <f aca="true" t="shared" si="1" ref="G9:G17">IF(D9&gt;0,D9*F9,"")</f>
        <v>250</v>
      </c>
      <c r="H9" s="129">
        <v>0.03</v>
      </c>
      <c r="I9" s="130">
        <f aca="true" t="shared" si="2" ref="I9:I17">IF(D9&gt;0,D9*H9,"")</f>
        <v>75</v>
      </c>
      <c r="J9" s="137">
        <v>1</v>
      </c>
      <c r="K9" s="139">
        <f t="shared" si="0"/>
        <v>520.1785714285714</v>
      </c>
      <c r="L9" s="141">
        <f>IF(D9&gt;0,K9/'Supplement program comparisons'!I$7,"")</f>
        <v>5.201785714285714</v>
      </c>
      <c r="M9" s="40"/>
    </row>
    <row r="10" spans="1:13" ht="16.5" customHeight="1">
      <c r="A10" s="13"/>
      <c r="B10" s="90">
        <v>3</v>
      </c>
      <c r="C10" s="145" t="s">
        <v>145</v>
      </c>
      <c r="D10" s="135">
        <v>150</v>
      </c>
      <c r="E10" s="133">
        <v>5</v>
      </c>
      <c r="F10" s="129">
        <v>0</v>
      </c>
      <c r="G10" s="130">
        <f>IF(D10&gt;0,D10*F10,"")</f>
        <v>0</v>
      </c>
      <c r="H10" s="129">
        <v>0.05</v>
      </c>
      <c r="I10" s="130">
        <f t="shared" si="2"/>
        <v>7.5</v>
      </c>
      <c r="J10" s="137">
        <v>1</v>
      </c>
      <c r="K10" s="139">
        <f t="shared" si="0"/>
        <v>44.25</v>
      </c>
      <c r="L10" s="141">
        <f>IF(D10&gt;0,K10/'Supplement program comparisons'!I$7,"")</f>
        <v>0.4425</v>
      </c>
      <c r="M10" s="40"/>
    </row>
    <row r="11" spans="1:13" ht="16.5" customHeight="1">
      <c r="A11" s="13"/>
      <c r="B11" s="90">
        <v>4</v>
      </c>
      <c r="C11" s="145" t="s">
        <v>146</v>
      </c>
      <c r="D11" s="135">
        <v>20</v>
      </c>
      <c r="E11" s="133">
        <v>6</v>
      </c>
      <c r="F11" s="129">
        <v>0</v>
      </c>
      <c r="G11" s="130">
        <f t="shared" si="1"/>
        <v>0</v>
      </c>
      <c r="H11" s="129">
        <v>0.05</v>
      </c>
      <c r="I11" s="130">
        <f t="shared" si="2"/>
        <v>1</v>
      </c>
      <c r="J11" s="137">
        <v>1</v>
      </c>
      <c r="K11" s="139">
        <f t="shared" si="0"/>
        <v>5.233333333333333</v>
      </c>
      <c r="L11" s="141">
        <f>IF(D11&gt;0,K11/'Supplement program comparisons'!I$7,"")</f>
        <v>0.052333333333333336</v>
      </c>
      <c r="M11" s="40"/>
    </row>
    <row r="12" spans="1:13" ht="16.5" customHeight="1">
      <c r="A12" s="13"/>
      <c r="B12" s="90">
        <v>5</v>
      </c>
      <c r="C12" s="145" t="s">
        <v>139</v>
      </c>
      <c r="D12" s="135">
        <v>350</v>
      </c>
      <c r="E12" s="133">
        <v>10</v>
      </c>
      <c r="F12" s="129">
        <v>0</v>
      </c>
      <c r="G12" s="130">
        <f t="shared" si="1"/>
        <v>0</v>
      </c>
      <c r="H12" s="129">
        <v>0.025</v>
      </c>
      <c r="I12" s="130">
        <f t="shared" si="2"/>
        <v>8.75</v>
      </c>
      <c r="J12" s="137">
        <v>1</v>
      </c>
      <c r="K12" s="139">
        <f t="shared" si="0"/>
        <v>59.5</v>
      </c>
      <c r="L12" s="141">
        <f>IF(D12&gt;0,K12/'Supplement program comparisons'!I$7,"")</f>
        <v>0.595</v>
      </c>
      <c r="M12" s="40"/>
    </row>
    <row r="13" spans="1:13" ht="16.5" customHeight="1">
      <c r="A13" s="13"/>
      <c r="B13" s="90">
        <v>6</v>
      </c>
      <c r="C13" s="145" t="s">
        <v>2</v>
      </c>
      <c r="D13" s="135">
        <v>3900</v>
      </c>
      <c r="E13" s="133">
        <v>20</v>
      </c>
      <c r="F13" s="129">
        <v>0.2</v>
      </c>
      <c r="G13" s="130">
        <f t="shared" si="1"/>
        <v>780</v>
      </c>
      <c r="H13" s="129">
        <v>0.025</v>
      </c>
      <c r="I13" s="130">
        <f t="shared" si="2"/>
        <v>97.5</v>
      </c>
      <c r="J13" s="137">
        <v>1</v>
      </c>
      <c r="K13" s="139">
        <f t="shared" si="0"/>
        <v>464.1</v>
      </c>
      <c r="L13" s="141">
        <f>IF(D13&gt;0,K13/'Supplement program comparisons'!I$7,"")</f>
        <v>4.641</v>
      </c>
      <c r="M13" s="40"/>
    </row>
    <row r="14" spans="1:13" ht="16.5" customHeight="1">
      <c r="A14" s="13"/>
      <c r="B14" s="90">
        <v>7</v>
      </c>
      <c r="C14" s="145" t="s">
        <v>147</v>
      </c>
      <c r="D14" s="135">
        <v>1500</v>
      </c>
      <c r="E14" s="133">
        <v>7</v>
      </c>
      <c r="F14" s="129">
        <v>0.1</v>
      </c>
      <c r="G14" s="130">
        <f t="shared" si="1"/>
        <v>150</v>
      </c>
      <c r="H14" s="129">
        <v>0.025</v>
      </c>
      <c r="I14" s="130">
        <f t="shared" si="2"/>
        <v>37.5</v>
      </c>
      <c r="J14" s="137">
        <v>1</v>
      </c>
      <c r="K14" s="139">
        <f t="shared" si="0"/>
        <v>304.6071428571429</v>
      </c>
      <c r="L14" s="141">
        <f>IF(D14&gt;0,K14/'Supplement program comparisons'!I$7,"")</f>
        <v>3.046071428571429</v>
      </c>
      <c r="M14" s="40"/>
    </row>
    <row r="15" spans="1:13" ht="16.5" customHeight="1">
      <c r="A15" s="13"/>
      <c r="B15" s="90">
        <v>8</v>
      </c>
      <c r="C15" s="145" t="s">
        <v>140</v>
      </c>
      <c r="D15" s="135">
        <v>500</v>
      </c>
      <c r="E15" s="133">
        <v>15</v>
      </c>
      <c r="F15" s="129">
        <v>0</v>
      </c>
      <c r="G15" s="130">
        <f t="shared" si="1"/>
        <v>0</v>
      </c>
      <c r="H15" s="129">
        <v>0</v>
      </c>
      <c r="I15" s="130">
        <f t="shared" si="2"/>
        <v>0</v>
      </c>
      <c r="J15" s="137">
        <v>1</v>
      </c>
      <c r="K15" s="139">
        <f t="shared" si="0"/>
        <v>55.833333333333336</v>
      </c>
      <c r="L15" s="141">
        <f>IF(D15&gt;0,K15/'Supplement program comparisons'!I$7,"")</f>
        <v>0.5583333333333333</v>
      </c>
      <c r="M15" s="40"/>
    </row>
    <row r="16" spans="1:12" s="40" customFormat="1" ht="16.5" customHeight="1">
      <c r="A16" s="13"/>
      <c r="B16" s="90">
        <v>9</v>
      </c>
      <c r="C16" s="145" t="s">
        <v>3</v>
      </c>
      <c r="D16" s="135">
        <v>3000</v>
      </c>
      <c r="E16" s="133">
        <v>20</v>
      </c>
      <c r="F16" s="129">
        <v>0.2</v>
      </c>
      <c r="G16" s="130">
        <f t="shared" si="1"/>
        <v>600</v>
      </c>
      <c r="H16" s="129">
        <v>0.025</v>
      </c>
      <c r="I16" s="130">
        <f t="shared" si="2"/>
        <v>75</v>
      </c>
      <c r="J16" s="137">
        <v>1</v>
      </c>
      <c r="K16" s="139">
        <f t="shared" si="0"/>
        <v>357</v>
      </c>
      <c r="L16" s="141">
        <f>IF(D16&gt;0,K16/'Supplement program comparisons'!I$7,"")</f>
        <v>3.57</v>
      </c>
    </row>
    <row r="17" spans="1:12" s="40" customFormat="1" ht="16.5" customHeight="1">
      <c r="A17" s="22"/>
      <c r="B17" s="90">
        <v>10</v>
      </c>
      <c r="C17" s="145"/>
      <c r="D17" s="135"/>
      <c r="E17" s="133"/>
      <c r="F17" s="129"/>
      <c r="G17" s="130">
        <f t="shared" si="1"/>
      </c>
      <c r="H17" s="129"/>
      <c r="I17" s="130">
        <f t="shared" si="2"/>
      </c>
      <c r="J17" s="137"/>
      <c r="K17" s="139">
        <f t="shared" si="0"/>
      </c>
      <c r="L17" s="141">
        <f>IF(D17&gt;0,K17/'Supplement program comparisons'!I$7,"")</f>
      </c>
    </row>
    <row r="18" spans="1:12" s="40" customFormat="1" ht="16.5" customHeight="1">
      <c r="A18" s="13"/>
      <c r="B18" s="90">
        <v>11</v>
      </c>
      <c r="C18" s="145"/>
      <c r="D18" s="135"/>
      <c r="E18" s="133"/>
      <c r="F18" s="129"/>
      <c r="G18" s="130">
        <f>IF(D18&gt;0,D18*F18,"")</f>
      </c>
      <c r="H18" s="129"/>
      <c r="I18" s="130">
        <f>IF(D18&gt;0,D18*H18,"")</f>
      </c>
      <c r="J18" s="137"/>
      <c r="K18" s="139">
        <f>IF(D18&gt;0,((D18-G18)/E18+(D18+G18)/2*D$21+I18)*J18,"")</f>
      </c>
      <c r="L18" s="141">
        <f>IF(D18&gt;0,K18/'Supplement program comparisons'!I$7,"")</f>
      </c>
    </row>
    <row r="19" spans="1:13" ht="16.5" customHeight="1">
      <c r="A19" s="13"/>
      <c r="B19" s="91">
        <v>12</v>
      </c>
      <c r="C19" s="146"/>
      <c r="D19" s="136"/>
      <c r="E19" s="134"/>
      <c r="F19" s="131"/>
      <c r="G19" s="132">
        <f>IF(D19&gt;0,D19*F19,"")</f>
      </c>
      <c r="H19" s="131"/>
      <c r="I19" s="132">
        <f>IF(D19&gt;0,D19*H19,"")</f>
      </c>
      <c r="J19" s="138"/>
      <c r="K19" s="140">
        <f>IF(D19&gt;0,((D19-G19)/E19+(D19+G19)/2*D$21+I19)*J19,"")</f>
      </c>
      <c r="L19" s="142">
        <f>IF(D19&gt;0,K19/'Supplement program comparisons'!I$7,"")</f>
      </c>
      <c r="M19" s="40"/>
    </row>
    <row r="20" spans="1:12" ht="4.5" customHeight="1">
      <c r="A20" s="13"/>
      <c r="B20" s="15"/>
      <c r="C20" s="15"/>
      <c r="D20" s="15"/>
      <c r="E20" s="15"/>
      <c r="F20" s="15"/>
      <c r="G20" s="15"/>
      <c r="H20" s="15"/>
      <c r="I20" s="15"/>
      <c r="J20" s="15"/>
      <c r="K20" s="35"/>
      <c r="L20" s="15"/>
    </row>
    <row r="21" spans="1:13" ht="16.5" customHeight="1">
      <c r="A21" s="13"/>
      <c r="B21" s="38"/>
      <c r="C21" s="14" t="s">
        <v>89</v>
      </c>
      <c r="D21" s="148">
        <v>0.09</v>
      </c>
      <c r="E21" s="14"/>
      <c r="F21" s="14"/>
      <c r="G21" s="14"/>
      <c r="H21" s="14"/>
      <c r="I21" s="14"/>
      <c r="J21" s="14"/>
      <c r="K21" s="14"/>
      <c r="L21" s="14"/>
      <c r="M21" s="40"/>
    </row>
    <row r="22" spans="1:13" ht="16.5" customHeight="1">
      <c r="A22" s="13"/>
      <c r="B22" s="147" t="s">
        <v>25</v>
      </c>
      <c r="C22" s="15"/>
      <c r="D22" s="15"/>
      <c r="E22" s="15"/>
      <c r="F22" s="15"/>
      <c r="G22" s="15"/>
      <c r="H22" s="15"/>
      <c r="I22" s="15"/>
      <c r="J22" s="15"/>
      <c r="K22" s="15"/>
      <c r="L22" s="15"/>
      <c r="M22" s="13"/>
    </row>
    <row r="23" spans="1:13" ht="16.5" customHeight="1">
      <c r="A23" s="13"/>
      <c r="B23" s="15"/>
      <c r="C23" s="15"/>
      <c r="D23" s="15"/>
      <c r="E23" s="15"/>
      <c r="F23" s="15"/>
      <c r="G23" s="15"/>
      <c r="H23" s="15"/>
      <c r="I23" s="15"/>
      <c r="L23" s="15"/>
      <c r="M23" s="13"/>
    </row>
    <row r="24" spans="1:13" ht="16.5" customHeight="1">
      <c r="A24" s="13"/>
      <c r="B24" s="15"/>
      <c r="C24" s="15"/>
      <c r="D24" s="15"/>
      <c r="E24" s="15"/>
      <c r="F24" s="15"/>
      <c r="G24" s="15"/>
      <c r="H24" s="15"/>
      <c r="I24" s="15"/>
      <c r="L24" s="15"/>
      <c r="M24" s="13"/>
    </row>
    <row r="25" spans="1:13" ht="16.5" customHeight="1">
      <c r="A25" s="13"/>
      <c r="B25" s="46" t="s">
        <v>132</v>
      </c>
      <c r="C25" s="15"/>
      <c r="D25" s="15"/>
      <c r="E25" s="15"/>
      <c r="F25" s="15"/>
      <c r="G25" s="15"/>
      <c r="H25" s="15"/>
      <c r="I25" s="15"/>
      <c r="L25" s="15"/>
      <c r="M25" s="13"/>
    </row>
    <row r="26" spans="1:13" ht="16.5" customHeight="1">
      <c r="A26" s="13"/>
      <c r="B26" s="15"/>
      <c r="C26" s="15"/>
      <c r="D26" s="15"/>
      <c r="E26" s="15"/>
      <c r="F26" s="15"/>
      <c r="G26" s="15"/>
      <c r="H26" s="15"/>
      <c r="I26" s="15"/>
      <c r="L26" s="15"/>
      <c r="M26" s="13"/>
    </row>
    <row r="27" spans="1:13" ht="16.5" customHeight="1">
      <c r="A27" s="13"/>
      <c r="B27" s="15"/>
      <c r="C27" s="15"/>
      <c r="D27" s="15"/>
      <c r="E27" s="15"/>
      <c r="F27" s="15"/>
      <c r="G27" s="15"/>
      <c r="H27" s="15"/>
      <c r="I27" s="15"/>
      <c r="L27" s="15"/>
      <c r="M27" s="13"/>
    </row>
    <row r="28" spans="1:13" ht="16.5" customHeight="1">
      <c r="A28" s="13"/>
      <c r="B28" s="15"/>
      <c r="C28" s="15"/>
      <c r="D28" s="15"/>
      <c r="E28" s="15"/>
      <c r="F28" s="15"/>
      <c r="G28" s="15"/>
      <c r="H28" s="15"/>
      <c r="I28" s="15"/>
      <c r="L28" s="15"/>
      <c r="M28" s="13"/>
    </row>
    <row r="29" spans="1:13" ht="16.5" customHeight="1">
      <c r="A29" s="13"/>
      <c r="B29" s="15"/>
      <c r="C29" s="15"/>
      <c r="D29" s="15"/>
      <c r="E29" s="15"/>
      <c r="F29" s="15"/>
      <c r="G29" s="15"/>
      <c r="H29" s="15"/>
      <c r="I29" s="15"/>
      <c r="L29" s="15"/>
      <c r="M29" s="13"/>
    </row>
    <row r="30" spans="1:13" ht="16.5" customHeight="1">
      <c r="A30" s="13"/>
      <c r="B30" s="15"/>
      <c r="C30" s="15"/>
      <c r="D30" s="15"/>
      <c r="E30" s="15"/>
      <c r="F30" s="15"/>
      <c r="G30" s="15"/>
      <c r="H30" s="15"/>
      <c r="I30" s="15"/>
      <c r="L30" s="15"/>
      <c r="M30" s="13"/>
    </row>
    <row r="31" spans="1:13" ht="16.5" customHeight="1">
      <c r="A31" s="13"/>
      <c r="B31" s="15"/>
      <c r="C31" s="15"/>
      <c r="D31" s="15"/>
      <c r="E31" s="15"/>
      <c r="F31" s="15"/>
      <c r="G31" s="15"/>
      <c r="H31" s="15"/>
      <c r="I31" s="15"/>
      <c r="L31" s="15"/>
      <c r="M31" s="13"/>
    </row>
    <row r="32" spans="1:13" ht="16.5" customHeight="1">
      <c r="A32" s="13"/>
      <c r="B32" s="15"/>
      <c r="C32" s="15"/>
      <c r="D32" s="15"/>
      <c r="E32" s="15"/>
      <c r="F32" s="42"/>
      <c r="G32" s="15"/>
      <c r="H32" s="15"/>
      <c r="I32" s="15"/>
      <c r="L32" s="15"/>
      <c r="M32" s="13"/>
    </row>
    <row r="33" spans="1:13" ht="16.5" customHeight="1" thickBot="1">
      <c r="A33" s="34"/>
      <c r="B33" s="34"/>
      <c r="C33" s="34"/>
      <c r="D33" s="34"/>
      <c r="E33" s="34"/>
      <c r="F33" s="34"/>
      <c r="G33" s="34"/>
      <c r="H33" s="34"/>
      <c r="I33" s="34"/>
      <c r="J33" s="40"/>
      <c r="K33" s="34"/>
      <c r="L33" s="34"/>
      <c r="M33" s="13"/>
    </row>
    <row r="34" spans="1:13" s="314" customFormat="1" ht="19.5" customHeight="1" thickBot="1">
      <c r="A34" s="287"/>
      <c r="B34" s="315" t="s">
        <v>7</v>
      </c>
      <c r="C34" s="316"/>
      <c r="D34" s="316"/>
      <c r="E34" s="316"/>
      <c r="F34" s="316"/>
      <c r="G34" s="316"/>
      <c r="H34" s="316"/>
      <c r="I34" s="316"/>
      <c r="J34" s="316"/>
      <c r="K34" s="316"/>
      <c r="L34" s="318"/>
      <c r="M34" s="287"/>
    </row>
    <row r="35" spans="1:13" ht="16.5" customHeight="1">
      <c r="A35" s="34"/>
      <c r="B35" s="43"/>
      <c r="C35" s="14"/>
      <c r="D35" s="14"/>
      <c r="E35" s="258" t="s">
        <v>97</v>
      </c>
      <c r="F35" s="337"/>
      <c r="G35" s="258" t="s">
        <v>98</v>
      </c>
      <c r="H35" s="337"/>
      <c r="I35" s="258" t="s">
        <v>99</v>
      </c>
      <c r="J35" s="337"/>
      <c r="K35" s="259" t="s">
        <v>100</v>
      </c>
      <c r="L35" s="343"/>
      <c r="M35" s="13"/>
    </row>
    <row r="36" spans="1:13" ht="16.5" customHeight="1">
      <c r="A36" s="34"/>
      <c r="B36" s="106" t="s">
        <v>93</v>
      </c>
      <c r="C36" s="349"/>
      <c r="D36" s="106"/>
      <c r="E36" s="253">
        <v>40000</v>
      </c>
      <c r="F36" s="338"/>
      <c r="G36" s="253">
        <v>15000</v>
      </c>
      <c r="H36" s="338"/>
      <c r="I36" s="253">
        <v>80000</v>
      </c>
      <c r="J36" s="338"/>
      <c r="K36" s="253">
        <v>0</v>
      </c>
      <c r="L36" s="345"/>
      <c r="M36" s="13"/>
    </row>
    <row r="37" spans="1:13" ht="16.5" customHeight="1">
      <c r="A37" s="34"/>
      <c r="B37" s="85" t="s">
        <v>94</v>
      </c>
      <c r="C37" s="252"/>
      <c r="D37" s="85"/>
      <c r="E37" s="136">
        <v>15000</v>
      </c>
      <c r="F37" s="339"/>
      <c r="G37" s="136">
        <v>4000</v>
      </c>
      <c r="H37" s="339"/>
      <c r="I37" s="136">
        <v>20000</v>
      </c>
      <c r="J37" s="339"/>
      <c r="K37" s="136">
        <v>0</v>
      </c>
      <c r="L37" s="346"/>
      <c r="M37" s="13"/>
    </row>
    <row r="38" spans="1:13" s="267" customFormat="1" ht="6" customHeight="1">
      <c r="A38" s="262"/>
      <c r="B38" s="193"/>
      <c r="C38" s="263"/>
      <c r="D38" s="193"/>
      <c r="E38" s="264"/>
      <c r="F38" s="340"/>
      <c r="G38" s="264"/>
      <c r="H38" s="340"/>
      <c r="I38" s="265"/>
      <c r="J38" s="340"/>
      <c r="K38" s="266"/>
      <c r="L38" s="347"/>
      <c r="M38" s="191"/>
    </row>
    <row r="39" spans="1:13" ht="16.5" customHeight="1">
      <c r="A39" s="34"/>
      <c r="B39" s="106" t="s">
        <v>95</v>
      </c>
      <c r="C39" s="349"/>
      <c r="D39" s="106"/>
      <c r="E39" s="254">
        <v>5</v>
      </c>
      <c r="F39" s="341"/>
      <c r="G39" s="254">
        <v>10</v>
      </c>
      <c r="H39" s="338"/>
      <c r="I39" s="254">
        <v>10</v>
      </c>
      <c r="J39" s="338"/>
      <c r="K39" s="254">
        <v>0</v>
      </c>
      <c r="L39" s="345"/>
      <c r="M39" s="13"/>
    </row>
    <row r="40" spans="1:13" ht="16.5" customHeight="1">
      <c r="A40" s="34"/>
      <c r="B40" s="85" t="s">
        <v>96</v>
      </c>
      <c r="C40" s="252"/>
      <c r="D40" s="85"/>
      <c r="E40" s="255">
        <v>20000</v>
      </c>
      <c r="F40" s="339"/>
      <c r="G40" s="255">
        <v>5000</v>
      </c>
      <c r="H40" s="339"/>
      <c r="I40" s="255">
        <v>700</v>
      </c>
      <c r="J40" s="339"/>
      <c r="K40" s="255">
        <v>0</v>
      </c>
      <c r="L40" s="346"/>
      <c r="M40" s="13"/>
    </row>
    <row r="41" spans="1:13" s="267" customFormat="1" ht="6" customHeight="1">
      <c r="A41" s="262"/>
      <c r="B41" s="191"/>
      <c r="C41" s="263"/>
      <c r="D41" s="191"/>
      <c r="E41" s="264"/>
      <c r="F41" s="340"/>
      <c r="G41" s="264"/>
      <c r="H41" s="340"/>
      <c r="I41" s="265"/>
      <c r="J41" s="340"/>
      <c r="K41" s="266"/>
      <c r="L41" s="347"/>
      <c r="M41" s="191"/>
    </row>
    <row r="42" spans="1:13" ht="16.5" customHeight="1">
      <c r="A42" s="34"/>
      <c r="B42" s="106" t="s">
        <v>57</v>
      </c>
      <c r="C42" s="349"/>
      <c r="D42" s="106"/>
      <c r="E42" s="253">
        <v>500</v>
      </c>
      <c r="F42" s="341"/>
      <c r="G42" s="253">
        <v>500</v>
      </c>
      <c r="H42" s="338"/>
      <c r="I42" s="253">
        <v>100</v>
      </c>
      <c r="J42" s="338"/>
      <c r="K42" s="253">
        <v>0</v>
      </c>
      <c r="L42" s="345"/>
      <c r="M42" s="13"/>
    </row>
    <row r="43" spans="1:13" ht="16.5" customHeight="1">
      <c r="A43" s="34"/>
      <c r="B43" s="84" t="s">
        <v>72</v>
      </c>
      <c r="C43" s="350"/>
      <c r="D43" s="84"/>
      <c r="E43" s="256">
        <v>0.35</v>
      </c>
      <c r="F43" s="342"/>
      <c r="G43" s="256">
        <v>0.45</v>
      </c>
      <c r="H43" s="342"/>
      <c r="I43" s="256">
        <v>35</v>
      </c>
      <c r="J43" s="342"/>
      <c r="K43" s="256">
        <v>0</v>
      </c>
      <c r="L43" s="348"/>
      <c r="M43" s="13"/>
    </row>
    <row r="44" spans="1:13" ht="16.5" customHeight="1">
      <c r="A44" s="34"/>
      <c r="B44" s="85" t="s">
        <v>56</v>
      </c>
      <c r="C44" s="252"/>
      <c r="D44" s="85"/>
      <c r="E44" s="136">
        <v>200</v>
      </c>
      <c r="F44" s="339"/>
      <c r="G44" s="136">
        <v>400</v>
      </c>
      <c r="H44" s="339"/>
      <c r="I44" s="136">
        <v>1000</v>
      </c>
      <c r="J44" s="339"/>
      <c r="K44" s="136">
        <v>0</v>
      </c>
      <c r="L44" s="346"/>
      <c r="M44" s="13"/>
    </row>
    <row r="45" spans="1:13" s="267" customFormat="1" ht="6" customHeight="1">
      <c r="A45" s="262"/>
      <c r="B45" s="191"/>
      <c r="C45" s="263"/>
      <c r="D45" s="191"/>
      <c r="E45" s="268">
        <f>SUM(E36:E44)</f>
        <v>75705.35</v>
      </c>
      <c r="F45" s="340"/>
      <c r="G45" s="268">
        <f>SUM(G36:G44)</f>
        <v>24910.45</v>
      </c>
      <c r="H45" s="340"/>
      <c r="I45" s="269">
        <f>SUM(I36:I44)</f>
        <v>101845</v>
      </c>
      <c r="J45" s="340"/>
      <c r="K45" s="270">
        <f>SUM(K36:K44)</f>
        <v>0</v>
      </c>
      <c r="L45" s="347"/>
      <c r="M45" s="191"/>
    </row>
    <row r="46" spans="1:13" ht="16.5" customHeight="1">
      <c r="A46" s="34"/>
      <c r="B46" s="14" t="s">
        <v>5</v>
      </c>
      <c r="C46" s="44"/>
      <c r="D46" s="14"/>
      <c r="E46" s="257">
        <f>IF(E45&gt;0,((E36-E37)/E39+(E36+E37)/2*$D48+E42+E44)/E40+E43,"")</f>
        <v>0.75875</v>
      </c>
      <c r="F46" s="343"/>
      <c r="G46" s="257">
        <f>IF(G45&gt;0,((G36-G37)/G39+(G36+G37)/2*$D48+G42+G44)/G40+G43,"")</f>
        <v>1.021</v>
      </c>
      <c r="H46" s="343"/>
      <c r="I46" s="257">
        <f>IF(I45&gt;0,((I36-I37)/I39+(I36+I37)/2*$D48+I42+I44)/I40+I43,"")</f>
        <v>51.57142857142857</v>
      </c>
      <c r="J46" s="344"/>
      <c r="K46" s="257">
        <f>IF(K45&gt;0,((K36-K37)/K39+(K36+K37)/2*$D48+K42+K44)/K40+K43,"")</f>
      </c>
      <c r="L46" s="343"/>
      <c r="M46" s="13"/>
    </row>
    <row r="47" spans="1:13" ht="6" customHeight="1">
      <c r="A47" s="34"/>
      <c r="B47" s="19"/>
      <c r="C47" s="19"/>
      <c r="D47" s="19"/>
      <c r="E47" s="19"/>
      <c r="F47" s="19"/>
      <c r="G47" s="19"/>
      <c r="H47" s="19"/>
      <c r="I47" s="19"/>
      <c r="J47" s="19"/>
      <c r="K47" s="260"/>
      <c r="L47" s="260"/>
      <c r="M47" s="13"/>
    </row>
    <row r="48" spans="1:13" ht="16.5" customHeight="1">
      <c r="A48" s="34"/>
      <c r="B48" s="14"/>
      <c r="C48" s="14" t="s">
        <v>89</v>
      </c>
      <c r="D48" s="261">
        <f>D21</f>
        <v>0.09</v>
      </c>
      <c r="E48" s="14"/>
      <c r="F48" s="14"/>
      <c r="G48" s="14"/>
      <c r="H48" s="14"/>
      <c r="I48" s="14"/>
      <c r="J48" s="14"/>
      <c r="K48" s="14"/>
      <c r="L48" s="14"/>
      <c r="M48" s="13"/>
    </row>
    <row r="49" spans="2:12" ht="16.5" customHeight="1">
      <c r="B49" s="40"/>
      <c r="C49" s="40"/>
      <c r="D49" s="40"/>
      <c r="E49" s="40"/>
      <c r="F49" s="40"/>
      <c r="G49" s="40"/>
      <c r="H49" s="40"/>
      <c r="I49" s="40"/>
      <c r="J49" s="40"/>
      <c r="K49" s="40"/>
      <c r="L49" s="40"/>
    </row>
    <row r="63" spans="1:13" ht="16.5" customHeight="1">
      <c r="A63" s="34"/>
      <c r="B63" s="13"/>
      <c r="C63" s="13"/>
      <c r="D63" s="13"/>
      <c r="E63" s="13"/>
      <c r="F63" s="13"/>
      <c r="G63" s="13"/>
      <c r="H63" s="13"/>
      <c r="I63" s="13"/>
      <c r="J63" s="13"/>
      <c r="K63" s="13"/>
      <c r="L63" s="13"/>
      <c r="M63" s="13"/>
    </row>
  </sheetData>
  <sheetProtection password="EE63" sheet="1" objects="1" scenarios="1"/>
  <mergeCells count="8">
    <mergeCell ref="L5:L6"/>
    <mergeCell ref="E5:E6"/>
    <mergeCell ref="F5:G6"/>
    <mergeCell ref="D5:D6"/>
    <mergeCell ref="B7:C7"/>
    <mergeCell ref="H5:I6"/>
    <mergeCell ref="J5:J6"/>
    <mergeCell ref="K5:K6"/>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sheetPr codeName="Sheet3">
    <tabColor indexed="10"/>
  </sheetPr>
  <dimension ref="A1:M177"/>
  <sheetViews>
    <sheetView showGridLines="0" zoomScale="87" zoomScaleNormal="87" zoomScalePageLayoutView="0" workbookViewId="0" topLeftCell="A1">
      <selection activeCell="A1" sqref="A1"/>
    </sheetView>
  </sheetViews>
  <sheetFormatPr defaultColWidth="8.88671875" defaultRowHeight="15"/>
  <cols>
    <col min="1" max="1" width="8.88671875" style="351" customWidth="1"/>
    <col min="2" max="2" width="4.6640625" style="351" customWidth="1"/>
    <col min="3" max="3" width="22.10546875" style="351" bestFit="1" customWidth="1"/>
    <col min="4" max="9" width="8.88671875" style="351" customWidth="1"/>
    <col min="10" max="10" width="19.77734375" style="351" bestFit="1" customWidth="1"/>
    <col min="11" max="16384" width="8.88671875" style="351" customWidth="1"/>
  </cols>
  <sheetData>
    <row r="1" spans="2:11" ht="14.25" thickBot="1">
      <c r="B1" s="352"/>
      <c r="C1" s="352"/>
      <c r="D1" s="352"/>
      <c r="E1" s="352"/>
      <c r="F1" s="352"/>
      <c r="G1" s="352"/>
      <c r="H1" s="352"/>
      <c r="I1" s="352"/>
      <c r="J1" s="352"/>
      <c r="K1" s="352"/>
    </row>
    <row r="2" spans="1:12" ht="15">
      <c r="A2" s="352"/>
      <c r="B2" s="353" t="s">
        <v>200</v>
      </c>
      <c r="C2" s="354"/>
      <c r="D2" s="354"/>
      <c r="E2" s="354"/>
      <c r="F2" s="354"/>
      <c r="G2" s="354"/>
      <c r="H2" s="354"/>
      <c r="I2" s="354"/>
      <c r="J2" s="354"/>
      <c r="K2" s="355"/>
      <c r="L2" s="352"/>
    </row>
    <row r="3" spans="1:12" ht="13.5">
      <c r="A3" s="352"/>
      <c r="B3" s="356"/>
      <c r="C3" s="357"/>
      <c r="D3" s="357"/>
      <c r="E3" s="357"/>
      <c r="F3" s="357"/>
      <c r="G3" s="357"/>
      <c r="H3" s="357"/>
      <c r="I3" s="357"/>
      <c r="J3" s="357"/>
      <c r="K3" s="358"/>
      <c r="L3" s="352"/>
    </row>
    <row r="4" spans="1:12" ht="13.5">
      <c r="A4" s="352"/>
      <c r="B4" s="359" t="s">
        <v>19</v>
      </c>
      <c r="C4" s="357"/>
      <c r="D4" s="360">
        <f>Crystalyx®!K66</f>
        <v>39493</v>
      </c>
      <c r="E4" s="357"/>
      <c r="F4" s="357" t="str">
        <f>VLOOKUP(MONTH(D4),J$4:K$67,2)</f>
        <v>Feb</v>
      </c>
      <c r="G4" s="357">
        <f>DAY(D4)</f>
        <v>15</v>
      </c>
      <c r="H4" s="357">
        <f>YEAR(D4)</f>
        <v>2008</v>
      </c>
      <c r="I4" s="357"/>
      <c r="J4" s="357">
        <v>1</v>
      </c>
      <c r="K4" s="361" t="s">
        <v>21</v>
      </c>
      <c r="L4" s="352"/>
    </row>
    <row r="5" spans="1:12" ht="13.5">
      <c r="A5" s="352"/>
      <c r="B5" s="359" t="s">
        <v>20</v>
      </c>
      <c r="C5" s="357"/>
      <c r="D5" s="360">
        <f>Crystalyx®!K67</f>
        <v>39613</v>
      </c>
      <c r="E5" s="357"/>
      <c r="F5" s="357" t="str">
        <f>VLOOKUP(MONTH(D5),J$4:K$67,2)</f>
        <v>Jun</v>
      </c>
      <c r="G5" s="357">
        <f>DAY(D5)</f>
        <v>14</v>
      </c>
      <c r="H5" s="357">
        <f>YEAR(D5)</f>
        <v>2008</v>
      </c>
      <c r="I5" s="357"/>
      <c r="J5" s="357">
        <v>2</v>
      </c>
      <c r="K5" s="361" t="s">
        <v>22</v>
      </c>
      <c r="L5" s="352"/>
    </row>
    <row r="6" spans="1:12" ht="13.5">
      <c r="A6" s="352"/>
      <c r="B6" s="359"/>
      <c r="C6" s="357"/>
      <c r="D6" s="357"/>
      <c r="E6" s="357"/>
      <c r="F6" s="357"/>
      <c r="G6" s="357"/>
      <c r="H6" s="357"/>
      <c r="I6" s="357"/>
      <c r="J6" s="357">
        <v>3</v>
      </c>
      <c r="K6" s="361" t="s">
        <v>23</v>
      </c>
      <c r="L6" s="352"/>
    </row>
    <row r="7" spans="1:12" ht="13.5">
      <c r="A7" s="352"/>
      <c r="B7" s="356" t="s">
        <v>111</v>
      </c>
      <c r="C7" s="357"/>
      <c r="D7" s="357"/>
      <c r="E7" s="357"/>
      <c r="F7" s="357"/>
      <c r="G7" s="357"/>
      <c r="H7" s="357"/>
      <c r="I7" s="357"/>
      <c r="J7" s="357">
        <v>4</v>
      </c>
      <c r="K7" s="361" t="s">
        <v>73</v>
      </c>
      <c r="L7" s="352"/>
    </row>
    <row r="8" spans="1:12" ht="13.5">
      <c r="A8" s="352"/>
      <c r="B8" s="359" t="s">
        <v>112</v>
      </c>
      <c r="C8" s="357"/>
      <c r="D8" s="357"/>
      <c r="E8" s="357"/>
      <c r="F8" s="357">
        <f>Crystalyx®!J8</f>
        <v>100</v>
      </c>
      <c r="G8" s="357" t="s">
        <v>117</v>
      </c>
      <c r="H8" s="357"/>
      <c r="I8" s="357"/>
      <c r="J8" s="357">
        <v>5</v>
      </c>
      <c r="K8" s="361" t="s">
        <v>74</v>
      </c>
      <c r="L8" s="352"/>
    </row>
    <row r="9" spans="1:12" ht="13.5">
      <c r="A9" s="352"/>
      <c r="B9" s="359" t="s">
        <v>113</v>
      </c>
      <c r="C9" s="357"/>
      <c r="D9" s="357"/>
      <c r="E9" s="357"/>
      <c r="F9" s="362">
        <f>Crystalyx®!J19</f>
        <v>0.75</v>
      </c>
      <c r="G9" s="357" t="s">
        <v>117</v>
      </c>
      <c r="H9" s="357"/>
      <c r="I9" s="357"/>
      <c r="J9" s="357">
        <v>6</v>
      </c>
      <c r="K9" s="361" t="s">
        <v>75</v>
      </c>
      <c r="L9" s="352"/>
    </row>
    <row r="10" spans="1:12" ht="13.5">
      <c r="A10" s="352"/>
      <c r="B10" s="359" t="s">
        <v>114</v>
      </c>
      <c r="C10" s="357"/>
      <c r="D10" s="357"/>
      <c r="E10" s="357"/>
      <c r="F10" s="357">
        <f>F8*F9</f>
        <v>75</v>
      </c>
      <c r="G10" s="357" t="s">
        <v>118</v>
      </c>
      <c r="H10" s="357"/>
      <c r="I10" s="357"/>
      <c r="J10" s="357">
        <v>7</v>
      </c>
      <c r="K10" s="361" t="s">
        <v>76</v>
      </c>
      <c r="L10" s="352"/>
    </row>
    <row r="11" spans="1:12" ht="13.5">
      <c r="A11" s="352"/>
      <c r="B11" s="359" t="s">
        <v>115</v>
      </c>
      <c r="C11" s="357"/>
      <c r="D11" s="357"/>
      <c r="E11" s="357"/>
      <c r="F11" s="357">
        <f>Crystalyx®!J21</f>
        <v>14</v>
      </c>
      <c r="G11" s="357" t="s">
        <v>117</v>
      </c>
      <c r="H11" s="357"/>
      <c r="I11" s="357"/>
      <c r="J11" s="357">
        <v>8</v>
      </c>
      <c r="K11" s="361" t="s">
        <v>77</v>
      </c>
      <c r="L11" s="352"/>
    </row>
    <row r="12" spans="1:12" ht="13.5">
      <c r="A12" s="352"/>
      <c r="B12" s="359" t="s">
        <v>119</v>
      </c>
      <c r="C12" s="357"/>
      <c r="D12" s="357"/>
      <c r="E12" s="357"/>
      <c r="F12" s="357">
        <f>F10*F11</f>
        <v>1050</v>
      </c>
      <c r="G12" s="357" t="s">
        <v>118</v>
      </c>
      <c r="H12" s="357"/>
      <c r="I12" s="357"/>
      <c r="J12" s="357">
        <v>9</v>
      </c>
      <c r="K12" s="361" t="s">
        <v>78</v>
      </c>
      <c r="L12" s="352"/>
    </row>
    <row r="13" spans="1:12" ht="13.5">
      <c r="A13" s="352"/>
      <c r="B13" s="359" t="s">
        <v>116</v>
      </c>
      <c r="C13" s="357"/>
      <c r="D13" s="357"/>
      <c r="E13" s="357"/>
      <c r="F13" s="357">
        <f>K98</f>
        <v>250</v>
      </c>
      <c r="G13" s="357" t="s">
        <v>117</v>
      </c>
      <c r="H13" s="357"/>
      <c r="I13" s="357"/>
      <c r="J13" s="357">
        <v>10</v>
      </c>
      <c r="K13" s="361" t="s">
        <v>79</v>
      </c>
      <c r="L13" s="352"/>
    </row>
    <row r="14" spans="1:12" ht="13.5">
      <c r="A14" s="352"/>
      <c r="B14" s="359"/>
      <c r="C14" s="357"/>
      <c r="D14" s="357"/>
      <c r="E14" s="357"/>
      <c r="F14" s="357"/>
      <c r="G14" s="357"/>
      <c r="H14" s="357"/>
      <c r="I14" s="357"/>
      <c r="J14" s="357">
        <v>11</v>
      </c>
      <c r="K14" s="361" t="s">
        <v>80</v>
      </c>
      <c r="L14" s="352"/>
    </row>
    <row r="15" spans="1:12" ht="13.5">
      <c r="A15" s="352"/>
      <c r="B15" s="359" t="s">
        <v>120</v>
      </c>
      <c r="C15" s="357"/>
      <c r="D15" s="357"/>
      <c r="E15" s="357"/>
      <c r="F15" s="363">
        <f>FLOOR(F12/F13,1)</f>
        <v>4</v>
      </c>
      <c r="G15" s="357" t="s">
        <v>118</v>
      </c>
      <c r="H15" s="357"/>
      <c r="I15" s="357"/>
      <c r="J15" s="357">
        <v>12</v>
      </c>
      <c r="K15" s="361" t="s">
        <v>71</v>
      </c>
      <c r="L15" s="352"/>
    </row>
    <row r="16" spans="1:12" ht="13.5">
      <c r="A16" s="352"/>
      <c r="B16" s="359" t="s">
        <v>121</v>
      </c>
      <c r="C16" s="357"/>
      <c r="D16" s="357"/>
      <c r="E16" s="357"/>
      <c r="F16" s="363">
        <f>CEILING(F12/F13,1)</f>
        <v>5</v>
      </c>
      <c r="G16" s="357" t="s">
        <v>118</v>
      </c>
      <c r="H16" s="357"/>
      <c r="I16" s="357"/>
      <c r="J16" s="357"/>
      <c r="K16" s="361"/>
      <c r="L16" s="352"/>
    </row>
    <row r="17" spans="1:12" ht="13.5">
      <c r="A17" s="352"/>
      <c r="B17" s="359" t="s">
        <v>122</v>
      </c>
      <c r="C17" s="357"/>
      <c r="D17" s="357"/>
      <c r="E17" s="357"/>
      <c r="F17" s="357">
        <f>ROUND(F8/F15,0)</f>
        <v>25</v>
      </c>
      <c r="G17" s="357" t="s">
        <v>118</v>
      </c>
      <c r="H17" s="357"/>
      <c r="I17" s="357"/>
      <c r="J17" s="357"/>
      <c r="K17" s="361"/>
      <c r="L17" s="352"/>
    </row>
    <row r="18" spans="1:12" ht="14.25" thickBot="1">
      <c r="A18" s="352"/>
      <c r="B18" s="364" t="s">
        <v>123</v>
      </c>
      <c r="C18" s="365"/>
      <c r="D18" s="365"/>
      <c r="E18" s="365"/>
      <c r="F18" s="365">
        <f>ROUND(F8/F16,0)</f>
        <v>20</v>
      </c>
      <c r="G18" s="365" t="s">
        <v>118</v>
      </c>
      <c r="H18" s="365"/>
      <c r="I18" s="365"/>
      <c r="J18" s="365"/>
      <c r="K18" s="366"/>
      <c r="L18" s="352"/>
    </row>
    <row r="19" spans="2:11" ht="13.5">
      <c r="B19" s="352"/>
      <c r="C19" s="352"/>
      <c r="D19" s="352"/>
      <c r="E19" s="352"/>
      <c r="F19" s="352"/>
      <c r="G19" s="352"/>
      <c r="H19" s="352"/>
      <c r="I19" s="352"/>
      <c r="J19" s="352"/>
      <c r="K19" s="367"/>
    </row>
    <row r="20" ht="13.5">
      <c r="K20" s="368"/>
    </row>
    <row r="21" ht="13.5">
      <c r="K21" s="368"/>
    </row>
    <row r="22" spans="2:11" ht="13.5">
      <c r="B22" s="369" t="s">
        <v>175</v>
      </c>
      <c r="C22" s="370"/>
      <c r="D22" s="370"/>
      <c r="E22" s="370"/>
      <c r="K22" s="368"/>
    </row>
    <row r="23" ht="13.5">
      <c r="K23" s="368"/>
    </row>
    <row r="24" spans="2:11" ht="13.5">
      <c r="B24" s="369" t="s">
        <v>108</v>
      </c>
      <c r="C24" s="370"/>
      <c r="D24" s="370"/>
      <c r="E24" s="370"/>
      <c r="K24" s="368"/>
    </row>
    <row r="25" ht="13.5">
      <c r="K25" s="368"/>
    </row>
    <row r="26" ht="13.5">
      <c r="K26" s="368"/>
    </row>
    <row r="27" ht="13.5">
      <c r="K27" s="368"/>
    </row>
    <row r="28" ht="13.5">
      <c r="K28" s="368"/>
    </row>
    <row r="29" ht="13.5">
      <c r="K29" s="368"/>
    </row>
    <row r="30" ht="13.5">
      <c r="K30" s="368"/>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4" ht="13.5">
      <c r="K64" s="368"/>
    </row>
    <row r="65" ht="13.5">
      <c r="K65" s="368"/>
    </row>
    <row r="66" spans="2:12" ht="14.25" thickBot="1">
      <c r="B66" s="352"/>
      <c r="C66" s="352"/>
      <c r="D66" s="352"/>
      <c r="E66" s="352"/>
      <c r="F66" s="352"/>
      <c r="G66" s="352"/>
      <c r="H66" s="352"/>
      <c r="I66" s="352"/>
      <c r="J66" s="352"/>
      <c r="K66" s="367"/>
      <c r="L66" s="352"/>
    </row>
    <row r="67" spans="1:13" ht="15" customHeight="1">
      <c r="A67" s="352"/>
      <c r="B67" s="574" t="s">
        <v>107</v>
      </c>
      <c r="C67" s="575"/>
      <c r="D67" s="575"/>
      <c r="E67" s="575"/>
      <c r="F67" s="575"/>
      <c r="G67" s="575"/>
      <c r="H67" s="575"/>
      <c r="I67" s="575"/>
      <c r="J67" s="575"/>
      <c r="K67" s="575"/>
      <c r="L67" s="576"/>
      <c r="M67" s="352"/>
    </row>
    <row r="68" spans="1:13" ht="14.25" thickBot="1">
      <c r="A68" s="352"/>
      <c r="B68" s="577"/>
      <c r="C68" s="578"/>
      <c r="D68" s="578"/>
      <c r="E68" s="578"/>
      <c r="F68" s="578"/>
      <c r="G68" s="578"/>
      <c r="H68" s="578"/>
      <c r="I68" s="578"/>
      <c r="J68" s="578"/>
      <c r="K68" s="578"/>
      <c r="L68" s="579"/>
      <c r="M68" s="352"/>
    </row>
    <row r="69" spans="2:12" ht="13.5">
      <c r="B69" s="395"/>
      <c r="C69" s="396"/>
      <c r="D69" s="588" t="s">
        <v>49</v>
      </c>
      <c r="E69" s="397"/>
      <c r="F69" s="588" t="str">
        <f>'Supplement program comparisons'!H33</f>
        <v>CRYSTALYX VP®-30</v>
      </c>
      <c r="G69" s="588" t="str">
        <f>'Supplement program comparisons'!I33</f>
        <v>Composite Block</v>
      </c>
      <c r="H69" s="588" t="str">
        <f>'Supplement program comparisons'!J33</f>
        <v>Cubes</v>
      </c>
      <c r="I69" s="588" t="str">
        <f>'Supplement program comparisons'!K33</f>
        <v>Liquid</v>
      </c>
      <c r="J69" s="588" t="str">
        <f>'Supplement program comparisons'!L33</f>
        <v>Salt Meal Mix</v>
      </c>
      <c r="K69" s="397"/>
      <c r="L69" s="398"/>
    </row>
    <row r="70" spans="2:12" ht="14.25" customHeight="1">
      <c r="B70" s="399" t="s">
        <v>42</v>
      </c>
      <c r="C70" s="400"/>
      <c r="D70" s="589"/>
      <c r="E70" s="400"/>
      <c r="F70" s="589"/>
      <c r="G70" s="589"/>
      <c r="H70" s="589"/>
      <c r="I70" s="589"/>
      <c r="J70" s="589"/>
      <c r="K70" s="400"/>
      <c r="L70" s="401"/>
    </row>
    <row r="71" spans="2:12" ht="13.5">
      <c r="B71" s="402">
        <v>1</v>
      </c>
      <c r="C71" s="403" t="str">
        <f>IF(Equipment!D8&gt;0,Equipment!C8,"")</f>
        <v>Cake feeder -- truck</v>
      </c>
      <c r="D71" s="319">
        <v>0</v>
      </c>
      <c r="E71" s="403"/>
      <c r="F71" s="320">
        <f>D71</f>
        <v>0</v>
      </c>
      <c r="G71" s="319">
        <v>0</v>
      </c>
      <c r="H71" s="319">
        <v>1</v>
      </c>
      <c r="I71" s="319">
        <v>0</v>
      </c>
      <c r="J71" s="319">
        <v>0</v>
      </c>
      <c r="K71" s="403"/>
      <c r="L71" s="404"/>
    </row>
    <row r="72" spans="2:12" ht="13.5">
      <c r="B72" s="402">
        <v>2</v>
      </c>
      <c r="C72" s="403" t="str">
        <f>IF(Equipment!D9&gt;0,Equipment!C9,"")</f>
        <v>Cake feeder -- trailer</v>
      </c>
      <c r="D72" s="319">
        <v>0</v>
      </c>
      <c r="E72" s="403"/>
      <c r="F72" s="320">
        <f>D72</f>
        <v>0</v>
      </c>
      <c r="G72" s="319">
        <v>0</v>
      </c>
      <c r="H72" s="319">
        <v>0</v>
      </c>
      <c r="I72" s="319">
        <v>0</v>
      </c>
      <c r="J72" s="319">
        <v>0</v>
      </c>
      <c r="K72" s="403"/>
      <c r="L72" s="404"/>
    </row>
    <row r="73" spans="2:12" ht="13.5">
      <c r="B73" s="402">
        <v>3</v>
      </c>
      <c r="C73" s="403" t="str">
        <f>IF(Equipment!D10&gt;0,Equipment!C10,"")</f>
        <v>Mineral feeder -- wind</v>
      </c>
      <c r="D73" s="319">
        <v>0</v>
      </c>
      <c r="E73" s="403"/>
      <c r="F73" s="320">
        <f aca="true" t="shared" si="0" ref="F73:F82">D73</f>
        <v>0</v>
      </c>
      <c r="G73" s="319">
        <v>0</v>
      </c>
      <c r="H73" s="319">
        <v>0</v>
      </c>
      <c r="I73" s="319">
        <v>0</v>
      </c>
      <c r="J73" s="319">
        <v>0</v>
      </c>
      <c r="K73" s="403"/>
      <c r="L73" s="404"/>
    </row>
    <row r="74" spans="2:12" ht="13.5">
      <c r="B74" s="402">
        <v>4</v>
      </c>
      <c r="C74" s="403" t="str">
        <f>IF(Equipment!D11&gt;0,Equipment!C11,"")</f>
        <v>Mineral feeder -- tire</v>
      </c>
      <c r="D74" s="319">
        <v>0</v>
      </c>
      <c r="E74" s="403"/>
      <c r="F74" s="320">
        <f t="shared" si="0"/>
        <v>0</v>
      </c>
      <c r="G74" s="319">
        <v>0</v>
      </c>
      <c r="H74" s="319">
        <v>0</v>
      </c>
      <c r="I74" s="319">
        <v>2</v>
      </c>
      <c r="J74" s="319">
        <v>0</v>
      </c>
      <c r="K74" s="403"/>
      <c r="L74" s="404"/>
    </row>
    <row r="75" spans="2:12" ht="13.5">
      <c r="B75" s="402">
        <v>5</v>
      </c>
      <c r="C75" s="403" t="str">
        <f>IF(Equipment!D12&gt;0,Equipment!C12,"")</f>
        <v>Liquid tank feeder</v>
      </c>
      <c r="D75" s="319">
        <v>0</v>
      </c>
      <c r="E75" s="403"/>
      <c r="F75" s="320">
        <f t="shared" si="0"/>
        <v>0</v>
      </c>
      <c r="G75" s="319">
        <v>0</v>
      </c>
      <c r="H75" s="319">
        <v>0</v>
      </c>
      <c r="I75" s="319">
        <v>0</v>
      </c>
      <c r="J75" s="319">
        <v>0</v>
      </c>
      <c r="K75" s="403"/>
      <c r="L75" s="404"/>
    </row>
    <row r="76" spans="2:12" ht="13.5">
      <c r="B76" s="402">
        <v>6</v>
      </c>
      <c r="C76" s="403" t="str">
        <f>IF(Equipment!D13&gt;0,Equipment!C13,"")</f>
        <v>Feed bunk - concrete</v>
      </c>
      <c r="D76" s="319">
        <v>0</v>
      </c>
      <c r="E76" s="403"/>
      <c r="F76" s="320">
        <f t="shared" si="0"/>
        <v>0</v>
      </c>
      <c r="G76" s="319">
        <v>0</v>
      </c>
      <c r="H76" s="319">
        <v>0</v>
      </c>
      <c r="I76" s="319">
        <v>0</v>
      </c>
      <c r="J76" s="319">
        <v>0</v>
      </c>
      <c r="K76" s="403"/>
      <c r="L76" s="404"/>
    </row>
    <row r="77" spans="2:12" ht="13.5">
      <c r="B77" s="402">
        <v>7</v>
      </c>
      <c r="C77" s="403" t="str">
        <f>IF(Equipment!D14&gt;0,Equipment!C14,"")</f>
        <v>Range meal feeder</v>
      </c>
      <c r="D77" s="319">
        <v>0</v>
      </c>
      <c r="E77" s="403"/>
      <c r="F77" s="320">
        <f t="shared" si="0"/>
        <v>0</v>
      </c>
      <c r="G77" s="319">
        <v>0</v>
      </c>
      <c r="H77" s="319">
        <v>0</v>
      </c>
      <c r="I77" s="319">
        <v>0</v>
      </c>
      <c r="J77" s="319">
        <v>3</v>
      </c>
      <c r="K77" s="403"/>
      <c r="L77" s="404"/>
    </row>
    <row r="78" spans="2:12" ht="13.5">
      <c r="B78" s="402">
        <v>8</v>
      </c>
      <c r="C78" s="403" t="str">
        <f>IF(Equipment!D15&gt;0,Equipment!C15,"")</f>
        <v>Flat storage</v>
      </c>
      <c r="D78" s="319">
        <v>0</v>
      </c>
      <c r="E78" s="403"/>
      <c r="F78" s="320">
        <f t="shared" si="0"/>
        <v>0</v>
      </c>
      <c r="G78" s="319">
        <v>0</v>
      </c>
      <c r="H78" s="319">
        <v>0</v>
      </c>
      <c r="I78" s="319">
        <v>0</v>
      </c>
      <c r="J78" s="319">
        <v>1</v>
      </c>
      <c r="K78" s="403"/>
      <c r="L78" s="404"/>
    </row>
    <row r="79" spans="2:12" ht="13.5">
      <c r="B79" s="402">
        <v>9</v>
      </c>
      <c r="C79" s="403" t="str">
        <f>IF(Equipment!D16&gt;0,Equipment!C16,"")</f>
        <v>Overhead bulk bins</v>
      </c>
      <c r="D79" s="319">
        <v>0</v>
      </c>
      <c r="E79" s="403"/>
      <c r="F79" s="320">
        <f t="shared" si="0"/>
        <v>0</v>
      </c>
      <c r="G79" s="319">
        <v>0</v>
      </c>
      <c r="H79" s="319">
        <v>1</v>
      </c>
      <c r="I79" s="319">
        <v>0</v>
      </c>
      <c r="J79" s="319">
        <v>0</v>
      </c>
      <c r="K79" s="403"/>
      <c r="L79" s="404"/>
    </row>
    <row r="80" spans="2:12" ht="13.5">
      <c r="B80" s="402">
        <v>10</v>
      </c>
      <c r="C80" s="403">
        <f>IF(Equipment!D17&gt;0,Equipment!C17,"")</f>
      </c>
      <c r="D80" s="319">
        <v>0</v>
      </c>
      <c r="E80" s="403"/>
      <c r="F80" s="320">
        <f>D80</f>
        <v>0</v>
      </c>
      <c r="G80" s="319">
        <v>0</v>
      </c>
      <c r="H80" s="319">
        <v>0</v>
      </c>
      <c r="I80" s="319">
        <v>0</v>
      </c>
      <c r="J80" s="319">
        <v>0</v>
      </c>
      <c r="K80" s="403"/>
      <c r="L80" s="404"/>
    </row>
    <row r="81" spans="2:12" ht="13.5">
      <c r="B81" s="402">
        <v>11</v>
      </c>
      <c r="C81" s="403">
        <f>IF(Equipment!D18&gt;0,Equipment!C18,"")</f>
      </c>
      <c r="D81" s="319">
        <v>0</v>
      </c>
      <c r="E81" s="403"/>
      <c r="F81" s="320">
        <f>D81</f>
        <v>0</v>
      </c>
      <c r="G81" s="319">
        <v>0</v>
      </c>
      <c r="H81" s="319">
        <v>0</v>
      </c>
      <c r="I81" s="319">
        <v>0</v>
      </c>
      <c r="J81" s="319">
        <v>0</v>
      </c>
      <c r="K81" s="403"/>
      <c r="L81" s="404"/>
    </row>
    <row r="82" spans="2:12" ht="14.25" thickBot="1">
      <c r="B82" s="405">
        <v>12</v>
      </c>
      <c r="C82" s="406">
        <f>IF(Equipment!D19&gt;0,Equipment!C19,"")</f>
      </c>
      <c r="D82" s="321">
        <v>0</v>
      </c>
      <c r="E82" s="406"/>
      <c r="F82" s="322">
        <f t="shared" si="0"/>
        <v>0</v>
      </c>
      <c r="G82" s="321">
        <v>0</v>
      </c>
      <c r="H82" s="321">
        <v>0</v>
      </c>
      <c r="I82" s="321">
        <v>0</v>
      </c>
      <c r="J82" s="321">
        <v>0</v>
      </c>
      <c r="K82" s="406"/>
      <c r="L82" s="407"/>
    </row>
    <row r="83" spans="2:5" ht="13.5">
      <c r="B83" s="352"/>
      <c r="C83" s="352"/>
      <c r="D83" s="352"/>
      <c r="E83" s="352"/>
    </row>
    <row r="84" spans="2:11" ht="13.5">
      <c r="B84" s="371" t="s">
        <v>166</v>
      </c>
      <c r="C84" s="372"/>
      <c r="D84" s="372"/>
      <c r="E84" s="372"/>
      <c r="F84" s="372"/>
      <c r="G84" s="372"/>
      <c r="H84" s="372"/>
      <c r="I84" s="372"/>
      <c r="J84" s="372"/>
      <c r="K84" s="372"/>
    </row>
    <row r="95" spans="2:11" ht="14.25" thickBot="1">
      <c r="B95" s="352"/>
      <c r="C95" s="352"/>
      <c r="D95" s="352"/>
      <c r="E95" s="352"/>
      <c r="F95" s="352"/>
      <c r="G95" s="352"/>
      <c r="H95" s="352"/>
      <c r="I95" s="352"/>
      <c r="J95" s="352"/>
      <c r="K95" s="352"/>
    </row>
    <row r="96" spans="1:12" ht="13.5">
      <c r="A96" s="352"/>
      <c r="B96" s="580" t="s">
        <v>199</v>
      </c>
      <c r="C96" s="581"/>
      <c r="D96" s="581"/>
      <c r="E96" s="581"/>
      <c r="F96" s="581"/>
      <c r="G96" s="581"/>
      <c r="H96" s="581"/>
      <c r="I96" s="581"/>
      <c r="J96" s="581"/>
      <c r="K96" s="582"/>
      <c r="L96" s="352"/>
    </row>
    <row r="97" spans="1:12" ht="14.25" thickBot="1">
      <c r="A97" s="352"/>
      <c r="B97" s="583"/>
      <c r="C97" s="584"/>
      <c r="D97" s="584"/>
      <c r="E97" s="584"/>
      <c r="F97" s="584"/>
      <c r="G97" s="584"/>
      <c r="H97" s="584"/>
      <c r="I97" s="584"/>
      <c r="J97" s="584"/>
      <c r="K97" s="585"/>
      <c r="L97" s="352"/>
    </row>
    <row r="98" spans="1:12" ht="13.5">
      <c r="A98" s="352"/>
      <c r="B98" s="353" t="s">
        <v>128</v>
      </c>
      <c r="C98" s="354"/>
      <c r="D98" s="354"/>
      <c r="E98" s="354" t="s">
        <v>39</v>
      </c>
      <c r="F98" s="354"/>
      <c r="G98" s="354" t="str">
        <f>VLOOKUP(Crystalyx®!J10,Formulas!B100:C174,2)</f>
        <v>CRYSTALYX VP®-30</v>
      </c>
      <c r="H98" s="354"/>
      <c r="I98" s="586" t="s">
        <v>64</v>
      </c>
      <c r="J98" s="587"/>
      <c r="K98" s="373">
        <f>VLOOKUP(Crystalyx®!K68,I100:K129,3)</f>
        <v>250</v>
      </c>
      <c r="L98" s="352"/>
    </row>
    <row r="99" spans="1:12" ht="13.5">
      <c r="A99" s="352"/>
      <c r="B99" s="374"/>
      <c r="C99" s="375"/>
      <c r="D99" s="357"/>
      <c r="E99" s="357"/>
      <c r="F99" s="357"/>
      <c r="G99" s="357"/>
      <c r="H99" s="357"/>
      <c r="I99" s="376"/>
      <c r="J99" s="375" t="s">
        <v>204</v>
      </c>
      <c r="K99" s="377"/>
      <c r="L99" s="352"/>
    </row>
    <row r="100" spans="1:12" ht="13.5">
      <c r="A100" s="352"/>
      <c r="B100" s="378">
        <v>0</v>
      </c>
      <c r="C100" s="408" t="s">
        <v>30</v>
      </c>
      <c r="D100" s="379"/>
      <c r="E100" s="379"/>
      <c r="F100" s="379"/>
      <c r="G100" s="379"/>
      <c r="H100" s="379"/>
      <c r="I100" s="380">
        <v>0</v>
      </c>
      <c r="J100" s="412" t="s">
        <v>66</v>
      </c>
      <c r="K100" s="413">
        <v>250</v>
      </c>
      <c r="L100" s="352"/>
    </row>
    <row r="101" spans="1:12" ht="13.5">
      <c r="A101" s="352"/>
      <c r="B101" s="381">
        <v>1</v>
      </c>
      <c r="C101" s="409" t="s">
        <v>31</v>
      </c>
      <c r="D101" s="379"/>
      <c r="E101" s="382"/>
      <c r="F101" s="379"/>
      <c r="G101" s="379"/>
      <c r="H101" s="379"/>
      <c r="I101" s="383">
        <v>1</v>
      </c>
      <c r="J101" s="414" t="s">
        <v>183</v>
      </c>
      <c r="K101" s="415">
        <v>200</v>
      </c>
      <c r="L101" s="352"/>
    </row>
    <row r="102" spans="1:12" ht="13.5">
      <c r="A102" s="352"/>
      <c r="B102" s="381">
        <v>2</v>
      </c>
      <c r="C102" s="409" t="s">
        <v>35</v>
      </c>
      <c r="D102" s="379"/>
      <c r="E102" s="382"/>
      <c r="F102" s="379"/>
      <c r="G102" s="379"/>
      <c r="H102" s="379"/>
      <c r="I102" s="380">
        <v>2</v>
      </c>
      <c r="J102" s="414" t="s">
        <v>67</v>
      </c>
      <c r="K102" s="416">
        <v>125</v>
      </c>
      <c r="L102" s="352"/>
    </row>
    <row r="103" spans="1:12" ht="13.5">
      <c r="A103" s="352"/>
      <c r="B103" s="381">
        <v>3</v>
      </c>
      <c r="C103" s="409" t="s">
        <v>36</v>
      </c>
      <c r="D103" s="379"/>
      <c r="E103" s="379"/>
      <c r="F103" s="379"/>
      <c r="G103" s="379"/>
      <c r="H103" s="379"/>
      <c r="I103" s="383">
        <v>3</v>
      </c>
      <c r="J103" s="414" t="s">
        <v>159</v>
      </c>
      <c r="K103" s="416">
        <v>60</v>
      </c>
      <c r="L103" s="352"/>
    </row>
    <row r="104" spans="1:12" ht="15.75">
      <c r="A104" s="352"/>
      <c r="B104" s="381">
        <v>4</v>
      </c>
      <c r="C104" s="409" t="s">
        <v>185</v>
      </c>
      <c r="D104" s="379"/>
      <c r="E104" s="379"/>
      <c r="F104" s="379"/>
      <c r="G104" s="379"/>
      <c r="H104" s="379"/>
      <c r="I104" s="380">
        <v>4</v>
      </c>
      <c r="J104" s="414"/>
      <c r="K104" s="416"/>
      <c r="L104" s="352"/>
    </row>
    <row r="105" spans="1:12" ht="15.75">
      <c r="A105" s="352"/>
      <c r="B105" s="381">
        <v>5</v>
      </c>
      <c r="C105" s="409" t="s">
        <v>186</v>
      </c>
      <c r="D105" s="379"/>
      <c r="E105" s="382"/>
      <c r="F105" s="379"/>
      <c r="G105" s="379"/>
      <c r="H105" s="379"/>
      <c r="I105" s="383">
        <v>5</v>
      </c>
      <c r="J105" s="414"/>
      <c r="K105" s="416"/>
      <c r="L105" s="352"/>
    </row>
    <row r="106" spans="1:12" ht="15.75">
      <c r="A106" s="352"/>
      <c r="B106" s="381">
        <v>6</v>
      </c>
      <c r="C106" s="409" t="s">
        <v>187</v>
      </c>
      <c r="D106" s="379"/>
      <c r="E106" s="379"/>
      <c r="F106" s="379"/>
      <c r="G106" s="379"/>
      <c r="H106" s="379"/>
      <c r="I106" s="380">
        <v>6</v>
      </c>
      <c r="J106" s="414"/>
      <c r="K106" s="416"/>
      <c r="L106" s="352"/>
    </row>
    <row r="107" spans="1:12" ht="13.5">
      <c r="A107" s="352"/>
      <c r="B107" s="381">
        <v>7</v>
      </c>
      <c r="C107" s="409" t="s">
        <v>29</v>
      </c>
      <c r="D107" s="379"/>
      <c r="E107" s="379"/>
      <c r="F107" s="379"/>
      <c r="G107" s="379"/>
      <c r="H107" s="379"/>
      <c r="I107" s="383">
        <v>7</v>
      </c>
      <c r="J107" s="414"/>
      <c r="K107" s="416"/>
      <c r="L107" s="352"/>
    </row>
    <row r="108" spans="1:12" ht="13.5">
      <c r="A108" s="352"/>
      <c r="B108" s="381">
        <v>8</v>
      </c>
      <c r="C108" s="409" t="s">
        <v>167</v>
      </c>
      <c r="D108" s="379"/>
      <c r="E108" s="379"/>
      <c r="F108" s="379"/>
      <c r="G108" s="379"/>
      <c r="H108" s="379"/>
      <c r="I108" s="380">
        <v>8</v>
      </c>
      <c r="J108" s="414"/>
      <c r="K108" s="416"/>
      <c r="L108" s="352"/>
    </row>
    <row r="109" spans="1:12" ht="13.5">
      <c r="A109" s="352"/>
      <c r="B109" s="381">
        <v>9</v>
      </c>
      <c r="C109" s="409" t="s">
        <v>168</v>
      </c>
      <c r="D109" s="379"/>
      <c r="E109" s="379"/>
      <c r="F109" s="379"/>
      <c r="G109" s="379"/>
      <c r="H109" s="379"/>
      <c r="I109" s="383">
        <v>9</v>
      </c>
      <c r="J109" s="414"/>
      <c r="K109" s="416"/>
      <c r="L109" s="352"/>
    </row>
    <row r="110" spans="1:12" ht="15.75">
      <c r="A110" s="352"/>
      <c r="B110" s="381">
        <v>10</v>
      </c>
      <c r="C110" s="409" t="s">
        <v>188</v>
      </c>
      <c r="D110" s="379"/>
      <c r="E110" s="379"/>
      <c r="F110" s="379"/>
      <c r="G110" s="379"/>
      <c r="H110" s="379"/>
      <c r="I110" s="380">
        <v>10</v>
      </c>
      <c r="J110" s="414"/>
      <c r="K110" s="416"/>
      <c r="L110" s="352"/>
    </row>
    <row r="111" spans="1:12" ht="15.75">
      <c r="A111" s="352"/>
      <c r="B111" s="381">
        <v>11</v>
      </c>
      <c r="C111" s="409" t="s">
        <v>189</v>
      </c>
      <c r="D111" s="379"/>
      <c r="E111" s="379"/>
      <c r="F111" s="379"/>
      <c r="G111" s="379"/>
      <c r="H111" s="379"/>
      <c r="I111" s="383">
        <v>11</v>
      </c>
      <c r="J111" s="414"/>
      <c r="K111" s="416"/>
      <c r="L111" s="352"/>
    </row>
    <row r="112" spans="1:12" ht="13.5">
      <c r="A112" s="352"/>
      <c r="B112" s="381">
        <v>12</v>
      </c>
      <c r="C112" s="409" t="s">
        <v>169</v>
      </c>
      <c r="D112" s="379"/>
      <c r="E112" s="379"/>
      <c r="F112" s="379"/>
      <c r="G112" s="379"/>
      <c r="H112" s="379"/>
      <c r="I112" s="380">
        <v>12</v>
      </c>
      <c r="J112" s="414"/>
      <c r="K112" s="416"/>
      <c r="L112" s="352"/>
    </row>
    <row r="113" spans="1:12" ht="13.5">
      <c r="A113" s="352"/>
      <c r="B113" s="381">
        <v>13</v>
      </c>
      <c r="C113" s="409" t="s">
        <v>170</v>
      </c>
      <c r="D113" s="379"/>
      <c r="E113" s="379"/>
      <c r="F113" s="379"/>
      <c r="G113" s="379"/>
      <c r="H113" s="379"/>
      <c r="I113" s="383">
        <v>13</v>
      </c>
      <c r="J113" s="414"/>
      <c r="K113" s="416"/>
      <c r="L113" s="352"/>
    </row>
    <row r="114" spans="1:12" ht="13.5">
      <c r="A114" s="352"/>
      <c r="B114" s="381">
        <v>14</v>
      </c>
      <c r="C114" s="409" t="s">
        <v>68</v>
      </c>
      <c r="D114" s="379"/>
      <c r="E114" s="379"/>
      <c r="F114" s="379"/>
      <c r="G114" s="379"/>
      <c r="H114" s="379"/>
      <c r="I114" s="380">
        <v>14</v>
      </c>
      <c r="J114" s="414"/>
      <c r="K114" s="416"/>
      <c r="L114" s="352"/>
    </row>
    <row r="115" spans="1:12" ht="15.75">
      <c r="A115" s="352"/>
      <c r="B115" s="381">
        <v>15</v>
      </c>
      <c r="C115" s="409" t="s">
        <v>190</v>
      </c>
      <c r="D115" s="379"/>
      <c r="E115" s="379"/>
      <c r="F115" s="379"/>
      <c r="G115" s="379"/>
      <c r="H115" s="379"/>
      <c r="I115" s="383">
        <v>15</v>
      </c>
      <c r="J115" s="414"/>
      <c r="K115" s="416"/>
      <c r="L115" s="352"/>
    </row>
    <row r="116" spans="1:12" ht="13.5">
      <c r="A116" s="352"/>
      <c r="B116" s="381">
        <v>16</v>
      </c>
      <c r="C116" s="409" t="s">
        <v>171</v>
      </c>
      <c r="D116" s="379"/>
      <c r="E116" s="379"/>
      <c r="F116" s="379"/>
      <c r="G116" s="379"/>
      <c r="H116" s="379"/>
      <c r="I116" s="380">
        <v>16</v>
      </c>
      <c r="J116" s="414"/>
      <c r="K116" s="416"/>
      <c r="L116" s="352"/>
    </row>
    <row r="117" spans="1:12" ht="13.5">
      <c r="A117" s="352"/>
      <c r="B117" s="381">
        <v>17</v>
      </c>
      <c r="C117" s="409" t="s">
        <v>172</v>
      </c>
      <c r="D117" s="379"/>
      <c r="E117" s="379"/>
      <c r="F117" s="379"/>
      <c r="G117" s="379"/>
      <c r="H117" s="379"/>
      <c r="I117" s="383">
        <v>17</v>
      </c>
      <c r="J117" s="414"/>
      <c r="K117" s="416"/>
      <c r="L117" s="352"/>
    </row>
    <row r="118" spans="1:12" ht="15.75">
      <c r="A118" s="352"/>
      <c r="B118" s="381">
        <v>18</v>
      </c>
      <c r="C118" s="409" t="s">
        <v>191</v>
      </c>
      <c r="D118" s="379"/>
      <c r="E118" s="379"/>
      <c r="F118" s="379"/>
      <c r="G118" s="379"/>
      <c r="H118" s="379"/>
      <c r="I118" s="380">
        <v>18</v>
      </c>
      <c r="J118" s="414"/>
      <c r="K118" s="416"/>
      <c r="L118" s="352"/>
    </row>
    <row r="119" spans="1:12" ht="15.75">
      <c r="A119" s="352"/>
      <c r="B119" s="381">
        <v>19</v>
      </c>
      <c r="C119" s="409" t="s">
        <v>192</v>
      </c>
      <c r="D119" s="379"/>
      <c r="E119" s="379"/>
      <c r="F119" s="379"/>
      <c r="G119" s="379"/>
      <c r="H119" s="379"/>
      <c r="I119" s="383">
        <v>19</v>
      </c>
      <c r="J119" s="414"/>
      <c r="K119" s="416"/>
      <c r="L119" s="352"/>
    </row>
    <row r="120" spans="1:12" ht="13.5">
      <c r="A120" s="352"/>
      <c r="B120" s="381">
        <v>20</v>
      </c>
      <c r="C120" s="409" t="s">
        <v>164</v>
      </c>
      <c r="D120" s="379"/>
      <c r="E120" s="379"/>
      <c r="F120" s="379"/>
      <c r="G120" s="379"/>
      <c r="H120" s="379"/>
      <c r="I120" s="380">
        <v>20</v>
      </c>
      <c r="J120" s="414"/>
      <c r="K120" s="416"/>
      <c r="L120" s="352"/>
    </row>
    <row r="121" spans="1:12" ht="13.5">
      <c r="A121" s="352"/>
      <c r="B121" s="381">
        <v>21</v>
      </c>
      <c r="C121" s="409" t="s">
        <v>165</v>
      </c>
      <c r="D121" s="379"/>
      <c r="E121" s="379"/>
      <c r="F121" s="379"/>
      <c r="G121" s="379"/>
      <c r="H121" s="379"/>
      <c r="I121" s="383">
        <v>21</v>
      </c>
      <c r="J121" s="414"/>
      <c r="K121" s="416"/>
      <c r="L121" s="352"/>
    </row>
    <row r="122" spans="1:12" ht="15.75">
      <c r="A122" s="352"/>
      <c r="B122" s="381">
        <v>22</v>
      </c>
      <c r="C122" s="409" t="s">
        <v>193</v>
      </c>
      <c r="D122" s="379"/>
      <c r="E122" s="379"/>
      <c r="F122" s="379"/>
      <c r="G122" s="379"/>
      <c r="H122" s="379"/>
      <c r="I122" s="380">
        <v>22</v>
      </c>
      <c r="J122" s="414"/>
      <c r="K122" s="416"/>
      <c r="L122" s="352"/>
    </row>
    <row r="123" spans="1:12" ht="13.5">
      <c r="A123" s="352"/>
      <c r="B123" s="381">
        <v>23</v>
      </c>
      <c r="C123" s="409" t="s">
        <v>32</v>
      </c>
      <c r="D123" s="379"/>
      <c r="E123" s="379"/>
      <c r="F123" s="379"/>
      <c r="G123" s="379"/>
      <c r="H123" s="379"/>
      <c r="I123" s="383">
        <v>23</v>
      </c>
      <c r="J123" s="414"/>
      <c r="K123" s="416"/>
      <c r="L123" s="352"/>
    </row>
    <row r="124" spans="1:12" ht="13.5">
      <c r="A124" s="352"/>
      <c r="B124" s="381">
        <v>24</v>
      </c>
      <c r="C124" s="409" t="s">
        <v>33</v>
      </c>
      <c r="D124" s="379"/>
      <c r="E124" s="379"/>
      <c r="F124" s="379"/>
      <c r="G124" s="379"/>
      <c r="H124" s="379"/>
      <c r="I124" s="380">
        <v>24</v>
      </c>
      <c r="J124" s="414"/>
      <c r="K124" s="416"/>
      <c r="L124" s="352"/>
    </row>
    <row r="125" spans="1:12" ht="15.75">
      <c r="A125" s="352"/>
      <c r="B125" s="381">
        <v>25</v>
      </c>
      <c r="C125" s="409" t="s">
        <v>194</v>
      </c>
      <c r="D125" s="379"/>
      <c r="E125" s="379"/>
      <c r="F125" s="379"/>
      <c r="G125" s="379"/>
      <c r="H125" s="379"/>
      <c r="I125" s="383">
        <v>25</v>
      </c>
      <c r="J125" s="414"/>
      <c r="K125" s="416"/>
      <c r="L125" s="352"/>
    </row>
    <row r="126" spans="1:12" ht="13.5">
      <c r="A126" s="352"/>
      <c r="B126" s="381">
        <v>26</v>
      </c>
      <c r="C126" s="409" t="s">
        <v>173</v>
      </c>
      <c r="D126" s="379"/>
      <c r="E126" s="379"/>
      <c r="F126" s="379"/>
      <c r="G126" s="379"/>
      <c r="H126" s="379"/>
      <c r="I126" s="380">
        <v>26</v>
      </c>
      <c r="J126" s="414"/>
      <c r="K126" s="416"/>
      <c r="L126" s="352"/>
    </row>
    <row r="127" spans="1:12" ht="13.5">
      <c r="A127" s="352"/>
      <c r="B127" s="381">
        <v>27</v>
      </c>
      <c r="C127" s="409" t="s">
        <v>34</v>
      </c>
      <c r="D127" s="379"/>
      <c r="E127" s="379"/>
      <c r="F127" s="379"/>
      <c r="G127" s="379"/>
      <c r="H127" s="379"/>
      <c r="I127" s="383">
        <v>27</v>
      </c>
      <c r="J127" s="414"/>
      <c r="K127" s="416"/>
      <c r="L127" s="352"/>
    </row>
    <row r="128" spans="1:12" ht="13.5">
      <c r="A128" s="352"/>
      <c r="B128" s="381">
        <v>28</v>
      </c>
      <c r="C128" s="409" t="s">
        <v>38</v>
      </c>
      <c r="D128" s="379"/>
      <c r="E128" s="379"/>
      <c r="F128" s="379"/>
      <c r="G128" s="379"/>
      <c r="H128" s="379"/>
      <c r="I128" s="380">
        <v>28</v>
      </c>
      <c r="J128" s="414"/>
      <c r="K128" s="416"/>
      <c r="L128" s="352"/>
    </row>
    <row r="129" spans="1:12" ht="15.75">
      <c r="A129" s="352"/>
      <c r="B129" s="381">
        <v>29</v>
      </c>
      <c r="C129" s="409" t="s">
        <v>195</v>
      </c>
      <c r="D129" s="379"/>
      <c r="E129" s="379"/>
      <c r="F129" s="379"/>
      <c r="G129" s="379"/>
      <c r="H129" s="379"/>
      <c r="I129" s="383">
        <v>29</v>
      </c>
      <c r="J129" s="417"/>
      <c r="K129" s="418"/>
      <c r="L129" s="352"/>
    </row>
    <row r="130" spans="1:12" ht="15.75">
      <c r="A130" s="352"/>
      <c r="B130" s="381">
        <v>30</v>
      </c>
      <c r="C130" s="409" t="s">
        <v>196</v>
      </c>
      <c r="D130" s="379"/>
      <c r="E130" s="379"/>
      <c r="F130" s="379"/>
      <c r="G130" s="379"/>
      <c r="H130" s="379"/>
      <c r="I130" s="379"/>
      <c r="J130" s="379"/>
      <c r="K130" s="384"/>
      <c r="L130" s="352"/>
    </row>
    <row r="131" spans="1:12" ht="15.75">
      <c r="A131" s="352"/>
      <c r="B131" s="381">
        <v>31</v>
      </c>
      <c r="C131" s="409" t="s">
        <v>197</v>
      </c>
      <c r="D131" s="379"/>
      <c r="E131" s="379"/>
      <c r="F131" s="379"/>
      <c r="G131" s="379"/>
      <c r="H131" s="379"/>
      <c r="I131" s="379"/>
      <c r="J131" s="379"/>
      <c r="K131" s="384"/>
      <c r="L131" s="352"/>
    </row>
    <row r="132" spans="1:12" ht="13.5">
      <c r="A132" s="352"/>
      <c r="B132" s="381">
        <v>32</v>
      </c>
      <c r="C132" s="409" t="s">
        <v>37</v>
      </c>
      <c r="D132" s="379"/>
      <c r="E132" s="379"/>
      <c r="F132" s="379"/>
      <c r="G132" s="379"/>
      <c r="H132" s="379"/>
      <c r="I132" s="379"/>
      <c r="J132" s="379"/>
      <c r="K132" s="384"/>
      <c r="L132" s="352"/>
    </row>
    <row r="133" spans="1:12" ht="13.5">
      <c r="A133" s="352"/>
      <c r="B133" s="381">
        <v>33</v>
      </c>
      <c r="C133" s="409" t="s">
        <v>174</v>
      </c>
      <c r="D133" s="379"/>
      <c r="E133" s="379"/>
      <c r="F133" s="379"/>
      <c r="G133" s="379"/>
      <c r="H133" s="379"/>
      <c r="I133" s="379"/>
      <c r="J133" s="379"/>
      <c r="K133" s="384"/>
      <c r="L133" s="352"/>
    </row>
    <row r="134" spans="1:12" ht="15.75">
      <c r="A134" s="352"/>
      <c r="B134" s="381">
        <v>34</v>
      </c>
      <c r="C134" s="409" t="s">
        <v>198</v>
      </c>
      <c r="D134" s="379"/>
      <c r="E134" s="379"/>
      <c r="F134" s="379"/>
      <c r="G134" s="379"/>
      <c r="H134" s="379"/>
      <c r="I134" s="379"/>
      <c r="J134" s="379"/>
      <c r="K134" s="384"/>
      <c r="L134" s="352"/>
    </row>
    <row r="135" spans="1:12" ht="13.5">
      <c r="A135" s="352"/>
      <c r="B135" s="381">
        <v>35</v>
      </c>
      <c r="C135" s="409"/>
      <c r="D135" s="379"/>
      <c r="E135" s="379"/>
      <c r="F135" s="379"/>
      <c r="G135" s="379"/>
      <c r="H135" s="379"/>
      <c r="I135" s="379"/>
      <c r="J135" s="379"/>
      <c r="K135" s="384"/>
      <c r="L135" s="352"/>
    </row>
    <row r="136" spans="1:12" ht="13.5">
      <c r="A136" s="352"/>
      <c r="B136" s="381">
        <v>36</v>
      </c>
      <c r="C136" s="409"/>
      <c r="D136" s="379"/>
      <c r="E136" s="379"/>
      <c r="F136" s="379"/>
      <c r="G136" s="379"/>
      <c r="H136" s="379"/>
      <c r="I136" s="379"/>
      <c r="J136" s="379"/>
      <c r="K136" s="384"/>
      <c r="L136" s="352"/>
    </row>
    <row r="137" spans="1:12" ht="13.5">
      <c r="A137" s="352"/>
      <c r="B137" s="381">
        <v>37</v>
      </c>
      <c r="C137" s="409"/>
      <c r="D137" s="379"/>
      <c r="E137" s="379"/>
      <c r="F137" s="379"/>
      <c r="G137" s="379"/>
      <c r="H137" s="379"/>
      <c r="I137" s="379"/>
      <c r="J137" s="379"/>
      <c r="K137" s="385"/>
      <c r="L137" s="352"/>
    </row>
    <row r="138" spans="1:12" ht="13.5">
      <c r="A138" s="352"/>
      <c r="B138" s="381">
        <v>38</v>
      </c>
      <c r="C138" s="409"/>
      <c r="D138" s="379"/>
      <c r="E138" s="379"/>
      <c r="F138" s="379"/>
      <c r="G138" s="379"/>
      <c r="H138" s="379"/>
      <c r="I138" s="379"/>
      <c r="J138" s="379"/>
      <c r="K138" s="385"/>
      <c r="L138" s="352"/>
    </row>
    <row r="139" spans="1:12" ht="13.5">
      <c r="A139" s="352"/>
      <c r="B139" s="381">
        <v>39</v>
      </c>
      <c r="C139" s="409"/>
      <c r="D139" s="379"/>
      <c r="E139" s="379"/>
      <c r="F139" s="379"/>
      <c r="G139" s="379"/>
      <c r="H139" s="379"/>
      <c r="I139" s="379"/>
      <c r="J139" s="379"/>
      <c r="K139" s="385"/>
      <c r="L139" s="352"/>
    </row>
    <row r="140" spans="1:12" ht="13.5">
      <c r="A140" s="352"/>
      <c r="B140" s="381">
        <v>40</v>
      </c>
      <c r="C140" s="409"/>
      <c r="D140" s="379"/>
      <c r="E140" s="379"/>
      <c r="F140" s="379"/>
      <c r="G140" s="379"/>
      <c r="H140" s="379"/>
      <c r="I140" s="379"/>
      <c r="J140" s="379"/>
      <c r="K140" s="385"/>
      <c r="L140" s="352"/>
    </row>
    <row r="141" spans="1:12" ht="13.5">
      <c r="A141" s="352"/>
      <c r="B141" s="381">
        <v>41</v>
      </c>
      <c r="C141" s="409"/>
      <c r="D141" s="379"/>
      <c r="E141" s="379"/>
      <c r="F141" s="379"/>
      <c r="G141" s="379"/>
      <c r="H141" s="379"/>
      <c r="I141" s="379"/>
      <c r="J141" s="379"/>
      <c r="K141" s="385"/>
      <c r="L141" s="352"/>
    </row>
    <row r="142" spans="1:12" ht="13.5">
      <c r="A142" s="352"/>
      <c r="B142" s="381">
        <v>42</v>
      </c>
      <c r="C142" s="409"/>
      <c r="D142" s="379"/>
      <c r="E142" s="379"/>
      <c r="F142" s="379"/>
      <c r="G142" s="379"/>
      <c r="H142" s="379"/>
      <c r="I142" s="379"/>
      <c r="J142" s="379"/>
      <c r="K142" s="385"/>
      <c r="L142" s="352"/>
    </row>
    <row r="143" spans="1:12" ht="13.5">
      <c r="A143" s="352"/>
      <c r="B143" s="381">
        <v>43</v>
      </c>
      <c r="C143" s="409"/>
      <c r="D143" s="379"/>
      <c r="E143" s="379"/>
      <c r="F143" s="379"/>
      <c r="G143" s="379"/>
      <c r="H143" s="379"/>
      <c r="I143" s="379"/>
      <c r="J143" s="379"/>
      <c r="K143" s="385"/>
      <c r="L143" s="352"/>
    </row>
    <row r="144" spans="1:12" ht="13.5">
      <c r="A144" s="352"/>
      <c r="B144" s="381">
        <v>44</v>
      </c>
      <c r="C144" s="409"/>
      <c r="D144" s="379"/>
      <c r="E144" s="379"/>
      <c r="F144" s="379"/>
      <c r="G144" s="379"/>
      <c r="H144" s="379"/>
      <c r="I144" s="379"/>
      <c r="J144" s="379"/>
      <c r="K144" s="385"/>
      <c r="L144" s="352"/>
    </row>
    <row r="145" spans="1:12" ht="13.5">
      <c r="A145" s="352"/>
      <c r="B145" s="381">
        <v>45</v>
      </c>
      <c r="C145" s="409"/>
      <c r="D145" s="379"/>
      <c r="E145" s="379"/>
      <c r="F145" s="379"/>
      <c r="G145" s="379"/>
      <c r="H145" s="379"/>
      <c r="I145" s="379"/>
      <c r="J145" s="379"/>
      <c r="K145" s="385"/>
      <c r="L145" s="352"/>
    </row>
    <row r="146" spans="1:12" ht="13.5">
      <c r="A146" s="352"/>
      <c r="B146" s="381">
        <v>46</v>
      </c>
      <c r="C146" s="409"/>
      <c r="D146" s="379"/>
      <c r="E146" s="379"/>
      <c r="F146" s="379"/>
      <c r="G146" s="379"/>
      <c r="H146" s="379"/>
      <c r="I146" s="379"/>
      <c r="J146" s="379"/>
      <c r="K146" s="385"/>
      <c r="L146" s="352"/>
    </row>
    <row r="147" spans="1:12" ht="13.5">
      <c r="A147" s="352"/>
      <c r="B147" s="381">
        <v>47</v>
      </c>
      <c r="C147" s="409"/>
      <c r="D147" s="379"/>
      <c r="E147" s="379"/>
      <c r="F147" s="379"/>
      <c r="G147" s="379"/>
      <c r="H147" s="379"/>
      <c r="I147" s="379"/>
      <c r="J147" s="379"/>
      <c r="K147" s="385"/>
      <c r="L147" s="352"/>
    </row>
    <row r="148" spans="1:12" ht="13.5">
      <c r="A148" s="352"/>
      <c r="B148" s="381">
        <v>48</v>
      </c>
      <c r="C148" s="409"/>
      <c r="D148" s="379"/>
      <c r="E148" s="379"/>
      <c r="F148" s="379"/>
      <c r="G148" s="379"/>
      <c r="H148" s="379"/>
      <c r="I148" s="379"/>
      <c r="J148" s="379"/>
      <c r="K148" s="385"/>
      <c r="L148" s="352"/>
    </row>
    <row r="149" spans="1:12" ht="13.5">
      <c r="A149" s="352"/>
      <c r="B149" s="381">
        <v>49</v>
      </c>
      <c r="C149" s="409"/>
      <c r="D149" s="379"/>
      <c r="E149" s="379"/>
      <c r="F149" s="379"/>
      <c r="G149" s="379"/>
      <c r="H149" s="379"/>
      <c r="I149" s="379"/>
      <c r="J149" s="379"/>
      <c r="K149" s="385"/>
      <c r="L149" s="352"/>
    </row>
    <row r="150" spans="1:12" ht="13.5">
      <c r="A150" s="352"/>
      <c r="B150" s="381">
        <v>50</v>
      </c>
      <c r="C150" s="409"/>
      <c r="D150" s="379"/>
      <c r="E150" s="379"/>
      <c r="F150" s="379"/>
      <c r="G150" s="379"/>
      <c r="H150" s="379"/>
      <c r="I150" s="379"/>
      <c r="J150" s="379"/>
      <c r="K150" s="385"/>
      <c r="L150" s="352"/>
    </row>
    <row r="151" spans="1:12" ht="13.5">
      <c r="A151" s="352"/>
      <c r="B151" s="381">
        <v>51</v>
      </c>
      <c r="C151" s="409"/>
      <c r="D151" s="379"/>
      <c r="E151" s="379"/>
      <c r="F151" s="379"/>
      <c r="G151" s="379"/>
      <c r="H151" s="379"/>
      <c r="I151" s="379"/>
      <c r="J151" s="379"/>
      <c r="K151" s="385"/>
      <c r="L151" s="352"/>
    </row>
    <row r="152" spans="1:12" ht="13.5">
      <c r="A152" s="352"/>
      <c r="B152" s="381">
        <v>52</v>
      </c>
      <c r="C152" s="409"/>
      <c r="D152" s="379"/>
      <c r="E152" s="379"/>
      <c r="F152" s="379"/>
      <c r="G152" s="379"/>
      <c r="H152" s="379"/>
      <c r="I152" s="379"/>
      <c r="J152" s="379"/>
      <c r="K152" s="385"/>
      <c r="L152" s="352"/>
    </row>
    <row r="153" spans="1:12" ht="13.5">
      <c r="A153" s="352"/>
      <c r="B153" s="381">
        <v>53</v>
      </c>
      <c r="C153" s="409"/>
      <c r="D153" s="379"/>
      <c r="E153" s="379"/>
      <c r="F153" s="379"/>
      <c r="G153" s="379"/>
      <c r="H153" s="379"/>
      <c r="I153" s="379"/>
      <c r="J153" s="379"/>
      <c r="K153" s="385"/>
      <c r="L153" s="352"/>
    </row>
    <row r="154" spans="1:12" ht="13.5">
      <c r="A154" s="352"/>
      <c r="B154" s="381">
        <v>54</v>
      </c>
      <c r="C154" s="409"/>
      <c r="D154" s="379"/>
      <c r="E154" s="379"/>
      <c r="F154" s="379"/>
      <c r="G154" s="379"/>
      <c r="H154" s="379"/>
      <c r="I154" s="379"/>
      <c r="J154" s="379"/>
      <c r="K154" s="385"/>
      <c r="L154" s="352"/>
    </row>
    <row r="155" spans="1:12" ht="13.5">
      <c r="A155" s="352"/>
      <c r="B155" s="381">
        <v>55</v>
      </c>
      <c r="C155" s="409"/>
      <c r="D155" s="379"/>
      <c r="E155" s="379"/>
      <c r="F155" s="379"/>
      <c r="G155" s="379"/>
      <c r="H155" s="379"/>
      <c r="I155" s="379"/>
      <c r="J155" s="379"/>
      <c r="K155" s="385"/>
      <c r="L155" s="352"/>
    </row>
    <row r="156" spans="1:12" ht="13.5">
      <c r="A156" s="352"/>
      <c r="B156" s="381">
        <v>56</v>
      </c>
      <c r="C156" s="409"/>
      <c r="D156" s="379"/>
      <c r="E156" s="379"/>
      <c r="F156" s="379"/>
      <c r="G156" s="379"/>
      <c r="H156" s="379"/>
      <c r="I156" s="379"/>
      <c r="J156" s="379"/>
      <c r="K156" s="385"/>
      <c r="L156" s="352"/>
    </row>
    <row r="157" spans="1:12" ht="13.5">
      <c r="A157" s="352"/>
      <c r="B157" s="381">
        <v>57</v>
      </c>
      <c r="C157" s="409"/>
      <c r="D157" s="379"/>
      <c r="E157" s="379"/>
      <c r="F157" s="379"/>
      <c r="G157" s="379"/>
      <c r="H157" s="379"/>
      <c r="I157" s="379"/>
      <c r="J157" s="379"/>
      <c r="K157" s="385"/>
      <c r="L157" s="352"/>
    </row>
    <row r="158" spans="1:12" ht="13.5">
      <c r="A158" s="352"/>
      <c r="B158" s="381">
        <v>58</v>
      </c>
      <c r="C158" s="410"/>
      <c r="D158" s="379"/>
      <c r="E158" s="379"/>
      <c r="F158" s="379"/>
      <c r="G158" s="379"/>
      <c r="H158" s="379"/>
      <c r="I158" s="379"/>
      <c r="J158" s="379"/>
      <c r="K158" s="385"/>
      <c r="L158" s="352"/>
    </row>
    <row r="159" spans="1:12" ht="13.5">
      <c r="A159" s="352"/>
      <c r="B159" s="381">
        <v>59</v>
      </c>
      <c r="C159" s="410"/>
      <c r="D159" s="379"/>
      <c r="E159" s="379"/>
      <c r="F159" s="379"/>
      <c r="G159" s="379"/>
      <c r="H159" s="379"/>
      <c r="I159" s="379"/>
      <c r="J159" s="379"/>
      <c r="K159" s="385"/>
      <c r="L159" s="352"/>
    </row>
    <row r="160" spans="1:12" ht="13.5">
      <c r="A160" s="352"/>
      <c r="B160" s="381">
        <v>60</v>
      </c>
      <c r="C160" s="410"/>
      <c r="D160" s="379"/>
      <c r="E160" s="379"/>
      <c r="F160" s="379"/>
      <c r="G160" s="379"/>
      <c r="H160" s="379"/>
      <c r="I160" s="379"/>
      <c r="J160" s="379"/>
      <c r="K160" s="385"/>
      <c r="L160" s="352"/>
    </row>
    <row r="161" spans="1:12" ht="13.5">
      <c r="A161" s="352"/>
      <c r="B161" s="381">
        <v>61</v>
      </c>
      <c r="C161" s="410"/>
      <c r="D161" s="379"/>
      <c r="E161" s="379"/>
      <c r="F161" s="379"/>
      <c r="G161" s="379"/>
      <c r="H161" s="379"/>
      <c r="I161" s="379"/>
      <c r="J161" s="379"/>
      <c r="K161" s="385"/>
      <c r="L161" s="352"/>
    </row>
    <row r="162" spans="1:12" ht="13.5">
      <c r="A162" s="352"/>
      <c r="B162" s="381">
        <v>62</v>
      </c>
      <c r="C162" s="410"/>
      <c r="D162" s="379"/>
      <c r="E162" s="379"/>
      <c r="F162" s="379"/>
      <c r="G162" s="379"/>
      <c r="H162" s="379"/>
      <c r="I162" s="379"/>
      <c r="J162" s="379"/>
      <c r="K162" s="385"/>
      <c r="L162" s="352"/>
    </row>
    <row r="163" spans="1:12" ht="13.5">
      <c r="A163" s="352"/>
      <c r="B163" s="381">
        <v>63</v>
      </c>
      <c r="C163" s="410"/>
      <c r="D163" s="379"/>
      <c r="E163" s="379"/>
      <c r="F163" s="379"/>
      <c r="G163" s="379"/>
      <c r="H163" s="379"/>
      <c r="I163" s="379"/>
      <c r="J163" s="379"/>
      <c r="K163" s="385"/>
      <c r="L163" s="352"/>
    </row>
    <row r="164" spans="1:12" ht="13.5">
      <c r="A164" s="352"/>
      <c r="B164" s="381">
        <v>64</v>
      </c>
      <c r="C164" s="410"/>
      <c r="D164" s="379"/>
      <c r="E164" s="379"/>
      <c r="F164" s="379"/>
      <c r="G164" s="379"/>
      <c r="H164" s="379"/>
      <c r="I164" s="379"/>
      <c r="J164" s="379"/>
      <c r="K164" s="385"/>
      <c r="L164" s="352"/>
    </row>
    <row r="165" spans="1:12" ht="13.5">
      <c r="A165" s="352"/>
      <c r="B165" s="381">
        <v>65</v>
      </c>
      <c r="C165" s="410"/>
      <c r="D165" s="379"/>
      <c r="E165" s="379"/>
      <c r="F165" s="379"/>
      <c r="G165" s="379"/>
      <c r="H165" s="379"/>
      <c r="I165" s="379"/>
      <c r="J165" s="379"/>
      <c r="K165" s="385"/>
      <c r="L165" s="352"/>
    </row>
    <row r="166" spans="1:12" ht="13.5">
      <c r="A166" s="352"/>
      <c r="B166" s="381">
        <v>66</v>
      </c>
      <c r="C166" s="410"/>
      <c r="D166" s="379"/>
      <c r="E166" s="379"/>
      <c r="F166" s="379"/>
      <c r="G166" s="379"/>
      <c r="H166" s="379"/>
      <c r="I166" s="379"/>
      <c r="J166" s="379"/>
      <c r="K166" s="385"/>
      <c r="L166" s="352"/>
    </row>
    <row r="167" spans="1:12" ht="13.5">
      <c r="A167" s="352"/>
      <c r="B167" s="381">
        <v>67</v>
      </c>
      <c r="C167" s="410"/>
      <c r="D167" s="379"/>
      <c r="E167" s="379"/>
      <c r="F167" s="379"/>
      <c r="G167" s="379"/>
      <c r="H167" s="379"/>
      <c r="I167" s="379"/>
      <c r="J167" s="379"/>
      <c r="K167" s="385"/>
      <c r="L167" s="352"/>
    </row>
    <row r="168" spans="1:12" ht="13.5">
      <c r="A168" s="352"/>
      <c r="B168" s="381">
        <v>68</v>
      </c>
      <c r="C168" s="410"/>
      <c r="D168" s="379"/>
      <c r="E168" s="379"/>
      <c r="F168" s="379"/>
      <c r="G168" s="379"/>
      <c r="H168" s="379"/>
      <c r="I168" s="379"/>
      <c r="J168" s="379"/>
      <c r="K168" s="385"/>
      <c r="L168" s="352"/>
    </row>
    <row r="169" spans="1:12" ht="13.5">
      <c r="A169" s="352"/>
      <c r="B169" s="381">
        <v>69</v>
      </c>
      <c r="C169" s="410"/>
      <c r="D169" s="379"/>
      <c r="E169" s="379"/>
      <c r="F169" s="379"/>
      <c r="G169" s="379"/>
      <c r="H169" s="379"/>
      <c r="I169" s="379"/>
      <c r="J169" s="379"/>
      <c r="K169" s="385"/>
      <c r="L169" s="352"/>
    </row>
    <row r="170" spans="1:12" ht="13.5">
      <c r="A170" s="352"/>
      <c r="B170" s="381">
        <v>70</v>
      </c>
      <c r="C170" s="410"/>
      <c r="D170" s="379"/>
      <c r="E170" s="379"/>
      <c r="F170" s="379"/>
      <c r="G170" s="379"/>
      <c r="H170" s="379"/>
      <c r="I170" s="379"/>
      <c r="J170" s="379"/>
      <c r="K170" s="385"/>
      <c r="L170" s="352"/>
    </row>
    <row r="171" spans="1:12" ht="13.5">
      <c r="A171" s="352"/>
      <c r="B171" s="381">
        <v>71</v>
      </c>
      <c r="C171" s="410"/>
      <c r="D171" s="379"/>
      <c r="E171" s="379"/>
      <c r="F171" s="379"/>
      <c r="G171" s="379"/>
      <c r="H171" s="379"/>
      <c r="I171" s="379"/>
      <c r="J171" s="379"/>
      <c r="K171" s="385"/>
      <c r="L171" s="352"/>
    </row>
    <row r="172" spans="1:12" ht="13.5">
      <c r="A172" s="352"/>
      <c r="B172" s="381">
        <v>72</v>
      </c>
      <c r="C172" s="410"/>
      <c r="D172" s="379"/>
      <c r="E172" s="379"/>
      <c r="F172" s="379"/>
      <c r="G172" s="379"/>
      <c r="H172" s="379"/>
      <c r="I172" s="379"/>
      <c r="J172" s="379"/>
      <c r="K172" s="385"/>
      <c r="L172" s="352"/>
    </row>
    <row r="173" spans="1:12" ht="13.5">
      <c r="A173" s="352"/>
      <c r="B173" s="381">
        <v>73</v>
      </c>
      <c r="C173" s="410"/>
      <c r="D173" s="379"/>
      <c r="E173" s="379"/>
      <c r="F173" s="379"/>
      <c r="G173" s="379"/>
      <c r="H173" s="379"/>
      <c r="I173" s="379"/>
      <c r="J173" s="379"/>
      <c r="K173" s="385"/>
      <c r="L173" s="352"/>
    </row>
    <row r="174" spans="1:12" ht="14.25" thickBot="1">
      <c r="A174" s="352"/>
      <c r="B174" s="386">
        <v>74</v>
      </c>
      <c r="C174" s="411"/>
      <c r="D174" s="387"/>
      <c r="E174" s="387"/>
      <c r="F174" s="387"/>
      <c r="G174" s="387"/>
      <c r="H174" s="387"/>
      <c r="I174" s="387"/>
      <c r="J174" s="387"/>
      <c r="K174" s="388"/>
      <c r="L174" s="352"/>
    </row>
    <row r="175" spans="1:12" ht="13.5">
      <c r="A175" s="352"/>
      <c r="B175" s="389"/>
      <c r="C175" s="390"/>
      <c r="D175" s="390"/>
      <c r="E175" s="390"/>
      <c r="F175" s="390"/>
      <c r="G175" s="390"/>
      <c r="H175" s="390"/>
      <c r="I175" s="390"/>
      <c r="J175" s="390"/>
      <c r="K175" s="391"/>
      <c r="L175" s="352"/>
    </row>
    <row r="176" spans="1:12" ht="14.25" thickBot="1">
      <c r="A176" s="352"/>
      <c r="B176" s="392"/>
      <c r="C176" s="393"/>
      <c r="D176" s="393"/>
      <c r="E176" s="393"/>
      <c r="F176" s="393"/>
      <c r="G176" s="393"/>
      <c r="H176" s="393"/>
      <c r="I176" s="393"/>
      <c r="J176" s="393"/>
      <c r="K176" s="394"/>
      <c r="L176" s="352"/>
    </row>
    <row r="177" spans="2:11" ht="13.5">
      <c r="B177" s="352"/>
      <c r="C177" s="352"/>
      <c r="D177" s="352"/>
      <c r="E177" s="352"/>
      <c r="F177" s="352"/>
      <c r="G177" s="352"/>
      <c r="H177" s="352"/>
      <c r="I177" s="352"/>
      <c r="J177" s="352"/>
      <c r="K177" s="352"/>
    </row>
  </sheetData>
  <sheetProtection password="EE63" sheet="1" objects="1" scenarios="1"/>
  <mergeCells count="9">
    <mergeCell ref="B67:L68"/>
    <mergeCell ref="B96:K97"/>
    <mergeCell ref="I98:J98"/>
    <mergeCell ref="I69:I70"/>
    <mergeCell ref="J69:J70"/>
    <mergeCell ref="D69:D70"/>
    <mergeCell ref="F69:F70"/>
    <mergeCell ref="G69:G70"/>
    <mergeCell ref="H69:H70"/>
  </mergeCells>
  <dataValidations count="1">
    <dataValidation type="custom" showInputMessage="1" showErrorMessage="1" promptTitle="St0[" errorTitle="Idiot" sqref="D80">
      <formula1>C80=""</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Dan Dhuyvetter</Manager>
  <Company>Ridley Block Operations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Crystal Clear Economics</dc:title>
  <dc:subject>Supplement cost calculator</dc:subject>
  <dc:creator>kdhuyvet</dc:creator>
  <cp:keywords/>
  <dc:description>password is Dan's INT&amp;BD (8 characters no caps)</dc:description>
  <cp:lastModifiedBy>Liz Klukas</cp:lastModifiedBy>
  <cp:lastPrinted>2008-01-29T00:10:50Z</cp:lastPrinted>
  <dcterms:created xsi:type="dcterms:W3CDTF">2002-05-13T12:03:10Z</dcterms:created>
  <dcterms:modified xsi:type="dcterms:W3CDTF">2015-11-12T18:26:56Z</dcterms:modified>
  <cp:category/>
  <cp:version/>
  <cp:contentType/>
  <cp:contentStatus/>
</cp:coreProperties>
</file>